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A CONTROL TAREAS\3 SFD SFD SFD SFD SFD 300821\PROPOSICIONES Concejo\"/>
    </mc:Choice>
  </mc:AlternateContent>
  <xr:revisionPtr revIDLastSave="0" documentId="13_ncr:1_{A165E700-50AD-4A3F-8A90-6CCCD3512B4E}" xr6:coauthVersionLast="47" xr6:coauthVersionMax="47" xr10:uidLastSave="{00000000-0000-0000-0000-000000000000}"/>
  <bookViews>
    <workbookView xWindow="-120" yWindow="-120" windowWidth="29040" windowHeight="15840" tabRatio="738" firstSheet="1" activeTab="1" xr2:uid="{FD3A2130-5095-444B-B62C-89B450A78AE4}"/>
  </bookViews>
  <sheets>
    <sheet name="funcionamiento-deudacontantes" sheetId="7" state="hidden" r:id="rId1"/>
    <sheet name="Ingresos AC 2012-2021" sheetId="14" r:id="rId2"/>
    <sheet name="Ingresos AC 2022-2024-2025" sheetId="18" r:id="rId3"/>
    <sheet name="Ingresos EP 2012-2021" sheetId="19" r:id="rId4"/>
    <sheet name="Ingresos EP 2022-2025" sheetId="20" r:id="rId5"/>
  </sheets>
  <definedNames>
    <definedName name="_xlnm._FilterDatabase" localSheetId="1" hidden="1">'Ingresos AC 2012-2021'!$A$6:$O$136</definedName>
    <definedName name="_xlnm._FilterDatabase" localSheetId="2" hidden="1">'Ingresos AC 2022-2024-2025'!$A$6:$B$43</definedName>
    <definedName name="_MES1">#REF!</definedName>
    <definedName name="anio">#REF!</definedName>
    <definedName name="concejo">#REF!</definedName>
    <definedName name="concejo_fondo">#REF!</definedName>
    <definedName name="deflactores">#REF!</definedName>
    <definedName name="disponibleconcejo">#REF!</definedName>
    <definedName name="ejecucion_2005">#REF!</definedName>
    <definedName name="ejecucion_central">#REF!</definedName>
    <definedName name="ejecutadoconcejo">#REF!</definedName>
    <definedName name="fondoconcejo">#REF!</definedName>
    <definedName name="GastosAnteriorEmpresas">#REF!</definedName>
    <definedName name="mes">#REF!</definedName>
    <definedName name="meses">#REF!</definedName>
    <definedName name="rubroconcejo">#REF!</definedName>
    <definedName name="_xlnm.Print_Titles" localSheetId="0">'funcionamiento-deudacontantes'!$A:$A,'funcionamiento-deudacontantes'!$1:$10</definedName>
    <definedName name="_xlnm.Print_Titles" localSheetId="1">'Ingresos AC 2012-2021'!$A:$A,'Ingresos AC 2012-2021'!$1:$5</definedName>
    <definedName name="_xlnm.Print_Titles" localSheetId="2">'Ingresos AC 2022-2024-2025'!$A:$A,'Ingresos AC 2022-2024-2025'!$1:$5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9" i="20" l="1"/>
  <c r="D119" i="20"/>
  <c r="E113" i="20"/>
  <c r="D113" i="20"/>
  <c r="C119" i="20"/>
  <c r="B119" i="20"/>
  <c r="C113" i="20"/>
  <c r="B113" i="20"/>
  <c r="K121" i="19"/>
  <c r="J121" i="19"/>
  <c r="I121" i="19"/>
  <c r="H121" i="19"/>
  <c r="G121" i="19"/>
  <c r="F121" i="19"/>
  <c r="E121" i="19"/>
  <c r="D121" i="19"/>
  <c r="C121" i="19"/>
  <c r="K120" i="19"/>
  <c r="J120" i="19"/>
  <c r="I120" i="19"/>
  <c r="H120" i="19"/>
  <c r="G120" i="19"/>
  <c r="F120" i="19"/>
  <c r="E120" i="19"/>
  <c r="D120" i="19"/>
  <c r="C120" i="19"/>
  <c r="K119" i="19"/>
  <c r="K123" i="19" s="1"/>
  <c r="J119" i="19"/>
  <c r="J123" i="19" s="1"/>
  <c r="I119" i="19"/>
  <c r="H119" i="19"/>
  <c r="G119" i="19"/>
  <c r="F119" i="19"/>
  <c r="E119" i="19"/>
  <c r="D119" i="19"/>
  <c r="C119" i="19"/>
  <c r="B121" i="19"/>
  <c r="B120" i="19"/>
  <c r="B119" i="19"/>
  <c r="B123" i="19" s="1"/>
  <c r="K117" i="19"/>
  <c r="J117" i="19"/>
  <c r="I117" i="19"/>
  <c r="H117" i="19"/>
  <c r="G117" i="19"/>
  <c r="F117" i="19"/>
  <c r="E117" i="19"/>
  <c r="D117" i="19"/>
  <c r="C117" i="19"/>
  <c r="B117" i="19"/>
  <c r="H12" i="7"/>
  <c r="K12" i="7"/>
  <c r="L12" i="7"/>
  <c r="N13" i="7"/>
  <c r="N90" i="7" s="1"/>
  <c r="O13" i="7"/>
  <c r="Q13" i="7"/>
  <c r="S13" i="7" s="1"/>
  <c r="R13" i="7"/>
  <c r="T13" i="7"/>
  <c r="U13" i="7"/>
  <c r="W13" i="7"/>
  <c r="W12" i="7" s="1"/>
  <c r="X13" i="7"/>
  <c r="Z13" i="7"/>
  <c r="AA13" i="7"/>
  <c r="AA12" i="7" s="1"/>
  <c r="AB12" i="7" s="1"/>
  <c r="AC13" i="7"/>
  <c r="AC12" i="7" s="1"/>
  <c r="AE12" i="7" s="1"/>
  <c r="AD13" i="7"/>
  <c r="AD12" i="7"/>
  <c r="AF13" i="7"/>
  <c r="AG13" i="7"/>
  <c r="AG12" i="7"/>
  <c r="AI13" i="7"/>
  <c r="B12" i="7"/>
  <c r="D12" i="7" s="1"/>
  <c r="E12" i="7"/>
  <c r="N14" i="7"/>
  <c r="N92" i="7" s="1"/>
  <c r="P92" i="7" s="1"/>
  <c r="O14" i="7"/>
  <c r="Q14" i="7"/>
  <c r="Q12" i="7" s="1"/>
  <c r="R14" i="7"/>
  <c r="T14" i="7"/>
  <c r="U14" i="7"/>
  <c r="U12" i="7" s="1"/>
  <c r="V12" i="7" s="1"/>
  <c r="H90" i="7"/>
  <c r="L16" i="7"/>
  <c r="N17" i="7"/>
  <c r="O17" i="7"/>
  <c r="Q17" i="7"/>
  <c r="R17" i="7"/>
  <c r="T17" i="7"/>
  <c r="U17" i="7"/>
  <c r="U90" i="7" s="1"/>
  <c r="W17" i="7"/>
  <c r="X17" i="7"/>
  <c r="X16" i="7" s="1"/>
  <c r="Y16" i="7" s="1"/>
  <c r="Z17" i="7"/>
  <c r="AA17" i="7"/>
  <c r="AC17" i="7"/>
  <c r="AD17" i="7"/>
  <c r="AF17" i="7"/>
  <c r="AG17" i="7"/>
  <c r="AI17" i="7"/>
  <c r="B16" i="7"/>
  <c r="E16" i="7"/>
  <c r="J18" i="7"/>
  <c r="N18" i="7"/>
  <c r="N16" i="7"/>
  <c r="O18" i="7"/>
  <c r="Q18" i="7"/>
  <c r="Q16" i="7" s="1"/>
  <c r="S16" i="7" s="1"/>
  <c r="R18" i="7"/>
  <c r="T18" i="7"/>
  <c r="T92" i="7" s="1"/>
  <c r="U18" i="7"/>
  <c r="W18" i="7"/>
  <c r="X18" i="7"/>
  <c r="Z18" i="7"/>
  <c r="Z16" i="7" s="1"/>
  <c r="AB16" i="7" s="1"/>
  <c r="AA18" i="7"/>
  <c r="AC18" i="7"/>
  <c r="AC16" i="7"/>
  <c r="AD18" i="7"/>
  <c r="AD16" i="7" s="1"/>
  <c r="AE16" i="7" s="1"/>
  <c r="AF18" i="7"/>
  <c r="AH18" i="7"/>
  <c r="AG18" i="7"/>
  <c r="AI18" i="7"/>
  <c r="AI16" i="7" s="1"/>
  <c r="H20" i="7"/>
  <c r="I20" i="7"/>
  <c r="K20" i="7"/>
  <c r="L20" i="7"/>
  <c r="N20" i="7"/>
  <c r="O20" i="7"/>
  <c r="Q20" i="7"/>
  <c r="R20" i="7"/>
  <c r="T20" i="7"/>
  <c r="U20" i="7"/>
  <c r="W20" i="7"/>
  <c r="X20" i="7"/>
  <c r="Z20" i="7"/>
  <c r="AA20" i="7"/>
  <c r="AC20" i="7"/>
  <c r="AF20" i="7"/>
  <c r="AG20" i="7"/>
  <c r="AI20" i="7"/>
  <c r="B20" i="7"/>
  <c r="E20" i="7"/>
  <c r="D22" i="7"/>
  <c r="AF24" i="7"/>
  <c r="AG24" i="7"/>
  <c r="AH24" i="7"/>
  <c r="B90" i="7"/>
  <c r="G25" i="7"/>
  <c r="H24" i="7"/>
  <c r="J24" i="7" s="1"/>
  <c r="J25" i="7"/>
  <c r="N25" i="7"/>
  <c r="O25" i="7"/>
  <c r="Q25" i="7"/>
  <c r="Q24" i="7" s="1"/>
  <c r="R25" i="7"/>
  <c r="S25" i="7" s="1"/>
  <c r="T25" i="7"/>
  <c r="T24" i="7"/>
  <c r="U25" i="7"/>
  <c r="W25" i="7"/>
  <c r="W24" i="7"/>
  <c r="X25" i="7"/>
  <c r="Z25" i="7"/>
  <c r="AA25" i="7"/>
  <c r="AC25" i="7"/>
  <c r="AD25" i="7"/>
  <c r="AE25" i="7" s="1"/>
  <c r="AH25" i="7"/>
  <c r="AI25" i="7"/>
  <c r="AI24" i="7" s="1"/>
  <c r="F24" i="7"/>
  <c r="N26" i="7"/>
  <c r="N24" i="7" s="1"/>
  <c r="P24" i="7" s="1"/>
  <c r="O26" i="7"/>
  <c r="Q26" i="7"/>
  <c r="R26" i="7"/>
  <c r="T26" i="7"/>
  <c r="U26" i="7"/>
  <c r="V26" i="7" s="1"/>
  <c r="W26" i="7"/>
  <c r="X26" i="7"/>
  <c r="Z26" i="7"/>
  <c r="Z24" i="7"/>
  <c r="AB24" i="7" s="1"/>
  <c r="AA26" i="7"/>
  <c r="AB26" i="7"/>
  <c r="AC26" i="7"/>
  <c r="AD26" i="7"/>
  <c r="AH26" i="7"/>
  <c r="AI26" i="7"/>
  <c r="B28" i="7"/>
  <c r="C28" i="7"/>
  <c r="E28" i="7"/>
  <c r="F28" i="7"/>
  <c r="I28" i="7"/>
  <c r="AC28" i="7"/>
  <c r="AD28" i="7"/>
  <c r="AE28" i="7" s="1"/>
  <c r="J29" i="7"/>
  <c r="K28" i="7"/>
  <c r="N29" i="7"/>
  <c r="N28" i="7" s="1"/>
  <c r="O29" i="7"/>
  <c r="Q29" i="7"/>
  <c r="R29" i="7"/>
  <c r="T29" i="7"/>
  <c r="T28" i="7" s="1"/>
  <c r="U29" i="7"/>
  <c r="V29" i="7"/>
  <c r="W29" i="7"/>
  <c r="W28" i="7" s="1"/>
  <c r="Y28" i="7" s="1"/>
  <c r="X29" i="7"/>
  <c r="Z29" i="7"/>
  <c r="Z28" i="7" s="1"/>
  <c r="AA29" i="7"/>
  <c r="AF29" i="7"/>
  <c r="AG29" i="7"/>
  <c r="AI29" i="7"/>
  <c r="AI28" i="7"/>
  <c r="M30" i="7"/>
  <c r="N30" i="7"/>
  <c r="P30" i="7" s="1"/>
  <c r="O30" i="7"/>
  <c r="Q30" i="7"/>
  <c r="R30" i="7"/>
  <c r="T30" i="7"/>
  <c r="U30" i="7"/>
  <c r="W30" i="7"/>
  <c r="X30" i="7"/>
  <c r="Y30" i="7"/>
  <c r="Z30" i="7"/>
  <c r="AA30" i="7"/>
  <c r="AB30" i="7" s="1"/>
  <c r="AF30" i="7"/>
  <c r="AH30" i="7"/>
  <c r="AG30" i="7"/>
  <c r="AI30" i="7"/>
  <c r="B32" i="7"/>
  <c r="C32" i="7"/>
  <c r="E32" i="7"/>
  <c r="F32" i="7"/>
  <c r="AF32" i="7"/>
  <c r="AG32" i="7"/>
  <c r="AH32" i="7"/>
  <c r="N33" i="7"/>
  <c r="O33" i="7"/>
  <c r="Q33" i="7"/>
  <c r="R33" i="7"/>
  <c r="T33" i="7"/>
  <c r="T32" i="7" s="1"/>
  <c r="U33" i="7"/>
  <c r="U32" i="7" s="1"/>
  <c r="W33" i="7"/>
  <c r="Y33" i="7"/>
  <c r="X33" i="7"/>
  <c r="Z33" i="7"/>
  <c r="Z32" i="7" s="1"/>
  <c r="AA33" i="7"/>
  <c r="AC33" i="7"/>
  <c r="AD33" i="7"/>
  <c r="AH33" i="7"/>
  <c r="AI33" i="7"/>
  <c r="J34" i="7"/>
  <c r="K32" i="7"/>
  <c r="L32" i="7"/>
  <c r="N34" i="7"/>
  <c r="P34" i="7" s="1"/>
  <c r="O34" i="7"/>
  <c r="Q34" i="7"/>
  <c r="S34" i="7" s="1"/>
  <c r="Q32" i="7"/>
  <c r="R34" i="7"/>
  <c r="T34" i="7"/>
  <c r="U34" i="7"/>
  <c r="W34" i="7"/>
  <c r="Y34" i="7"/>
  <c r="X34" i="7"/>
  <c r="Z34" i="7"/>
  <c r="AA34" i="7"/>
  <c r="AC34" i="7"/>
  <c r="AD34" i="7"/>
  <c r="AE34" i="7" s="1"/>
  <c r="AH34" i="7"/>
  <c r="AI34" i="7"/>
  <c r="AF36" i="7"/>
  <c r="AG36" i="7"/>
  <c r="AH36" i="7" s="1"/>
  <c r="C36" i="7"/>
  <c r="D36" i="7" s="1"/>
  <c r="N37" i="7"/>
  <c r="O37" i="7"/>
  <c r="P37" i="7"/>
  <c r="Q37" i="7"/>
  <c r="R37" i="7"/>
  <c r="S37" i="7" s="1"/>
  <c r="T37" i="7"/>
  <c r="U37" i="7"/>
  <c r="W37" i="7"/>
  <c r="X37" i="7"/>
  <c r="Y37" i="7"/>
  <c r="Z37" i="7"/>
  <c r="AA37" i="7"/>
  <c r="AC37" i="7"/>
  <c r="AE37" i="7"/>
  <c r="AD37" i="7"/>
  <c r="AH37" i="7"/>
  <c r="AI37" i="7"/>
  <c r="E36" i="7"/>
  <c r="I36" i="7"/>
  <c r="M38" i="7"/>
  <c r="N38" i="7"/>
  <c r="N36" i="7" s="1"/>
  <c r="O38" i="7"/>
  <c r="O36" i="7" s="1"/>
  <c r="Q38" i="7"/>
  <c r="Q36" i="7"/>
  <c r="R38" i="7"/>
  <c r="T38" i="7"/>
  <c r="U38" i="7"/>
  <c r="U36" i="7" s="1"/>
  <c r="V36" i="7" s="1"/>
  <c r="W38" i="7"/>
  <c r="X38" i="7"/>
  <c r="Z38" i="7"/>
  <c r="AA38" i="7"/>
  <c r="AA36" i="7"/>
  <c r="AB36" i="7" s="1"/>
  <c r="AC38" i="7"/>
  <c r="AD38" i="7"/>
  <c r="AE38" i="7" s="1"/>
  <c r="AH38" i="7"/>
  <c r="AI38" i="7"/>
  <c r="AI36" i="7" s="1"/>
  <c r="AF40" i="7"/>
  <c r="AG40" i="7"/>
  <c r="G41" i="7"/>
  <c r="K40" i="7"/>
  <c r="M40" i="7" s="1"/>
  <c r="N41" i="7"/>
  <c r="O41" i="7"/>
  <c r="Q41" i="7"/>
  <c r="R41" i="7"/>
  <c r="S41" i="7"/>
  <c r="T41" i="7"/>
  <c r="U41" i="7"/>
  <c r="W41" i="7"/>
  <c r="W40" i="7"/>
  <c r="X41" i="7"/>
  <c r="Z41" i="7"/>
  <c r="AB41" i="7" s="1"/>
  <c r="AA41" i="7"/>
  <c r="AC41" i="7"/>
  <c r="AD41" i="7"/>
  <c r="AH41" i="7"/>
  <c r="AI41" i="7"/>
  <c r="AI40" i="7" s="1"/>
  <c r="B91" i="7"/>
  <c r="B101" i="7" s="1"/>
  <c r="D42" i="7"/>
  <c r="F91" i="7"/>
  <c r="H91" i="7"/>
  <c r="I91" i="7"/>
  <c r="J91" i="7" s="1"/>
  <c r="M42" i="7"/>
  <c r="N42" i="7"/>
  <c r="P42" i="7" s="1"/>
  <c r="O42" i="7"/>
  <c r="Q42" i="7"/>
  <c r="R42" i="7"/>
  <c r="S42" i="7" s="1"/>
  <c r="T42" i="7"/>
  <c r="U42" i="7"/>
  <c r="V42" i="7" s="1"/>
  <c r="W42" i="7"/>
  <c r="X42" i="7"/>
  <c r="Z42" i="7"/>
  <c r="Z40" i="7" s="1"/>
  <c r="AB40" i="7" s="1"/>
  <c r="AA42" i="7"/>
  <c r="AA91" i="7"/>
  <c r="AC42" i="7"/>
  <c r="AC40" i="7" s="1"/>
  <c r="AE40" i="7" s="1"/>
  <c r="AD42" i="7"/>
  <c r="AD40" i="7"/>
  <c r="AH42" i="7"/>
  <c r="D43" i="7"/>
  <c r="G43" i="7"/>
  <c r="J43" i="7"/>
  <c r="N43" i="7"/>
  <c r="P43" i="7"/>
  <c r="O43" i="7"/>
  <c r="Q43" i="7"/>
  <c r="S43" i="7" s="1"/>
  <c r="R43" i="7"/>
  <c r="T43" i="7"/>
  <c r="U43" i="7"/>
  <c r="V43" i="7" s="1"/>
  <c r="W43" i="7"/>
  <c r="X43" i="7"/>
  <c r="Y43" i="7" s="1"/>
  <c r="Z43" i="7"/>
  <c r="AA43" i="7"/>
  <c r="AB43" i="7" s="1"/>
  <c r="AC43" i="7"/>
  <c r="AD43" i="7"/>
  <c r="AE43" i="7" s="1"/>
  <c r="AH43" i="7"/>
  <c r="AI43" i="7"/>
  <c r="AK43" i="7"/>
  <c r="AK44" i="7" s="1"/>
  <c r="AF45" i="7"/>
  <c r="AG45" i="7"/>
  <c r="AH45" i="7" s="1"/>
  <c r="H45" i="7"/>
  <c r="N46" i="7"/>
  <c r="P46" i="7"/>
  <c r="O46" i="7"/>
  <c r="Q46" i="7"/>
  <c r="Q45" i="7"/>
  <c r="R46" i="7"/>
  <c r="S46" i="7" s="1"/>
  <c r="T46" i="7"/>
  <c r="U46" i="7"/>
  <c r="V46" i="7" s="1"/>
  <c r="W46" i="7"/>
  <c r="X46" i="7"/>
  <c r="Z46" i="7"/>
  <c r="AA46" i="7"/>
  <c r="AC46" i="7"/>
  <c r="AD46" i="7"/>
  <c r="AH46" i="7"/>
  <c r="D47" i="7"/>
  <c r="J47" i="7"/>
  <c r="K45" i="7"/>
  <c r="N47" i="7"/>
  <c r="O47" i="7"/>
  <c r="Q47" i="7"/>
  <c r="R47" i="7"/>
  <c r="T47" i="7"/>
  <c r="U47" i="7"/>
  <c r="U92" i="7" s="1"/>
  <c r="V92" i="7" s="1"/>
  <c r="W47" i="7"/>
  <c r="W45" i="7"/>
  <c r="X47" i="7"/>
  <c r="Y47" i="7" s="1"/>
  <c r="Z47" i="7"/>
  <c r="AA47" i="7"/>
  <c r="AB47" i="7" s="1"/>
  <c r="AC47" i="7"/>
  <c r="AD47" i="7"/>
  <c r="AE47" i="7"/>
  <c r="AH47" i="7"/>
  <c r="AI47" i="7"/>
  <c r="AI92" i="7" s="1"/>
  <c r="AF49" i="7"/>
  <c r="AG49" i="7"/>
  <c r="AH49" i="7" s="1"/>
  <c r="M50" i="7"/>
  <c r="N50" i="7"/>
  <c r="P50" i="7" s="1"/>
  <c r="O50" i="7"/>
  <c r="Q50" i="7"/>
  <c r="Q49" i="7" s="1"/>
  <c r="R50" i="7"/>
  <c r="T50" i="7"/>
  <c r="U50" i="7"/>
  <c r="V50" i="7"/>
  <c r="W50" i="7"/>
  <c r="X50" i="7"/>
  <c r="Y50" i="7" s="1"/>
  <c r="Z50" i="7"/>
  <c r="Z49" i="7" s="1"/>
  <c r="AB49" i="7" s="1"/>
  <c r="AA50" i="7"/>
  <c r="AA49" i="7"/>
  <c r="AC50" i="7"/>
  <c r="AD50" i="7"/>
  <c r="AH50" i="7"/>
  <c r="AI50" i="7"/>
  <c r="AI49" i="7"/>
  <c r="C49" i="7"/>
  <c r="D49" i="7" s="1"/>
  <c r="G51" i="7"/>
  <c r="L49" i="7"/>
  <c r="N51" i="7"/>
  <c r="O51" i="7"/>
  <c r="Q51" i="7"/>
  <c r="R51" i="7"/>
  <c r="T51" i="7"/>
  <c r="V51" i="7" s="1"/>
  <c r="U51" i="7"/>
  <c r="AF53" i="7"/>
  <c r="AH53" i="7" s="1"/>
  <c r="AG53" i="7"/>
  <c r="C53" i="7"/>
  <c r="D53" i="7" s="1"/>
  <c r="M54" i="7"/>
  <c r="N54" i="7"/>
  <c r="N53" i="7" s="1"/>
  <c r="O54" i="7"/>
  <c r="Q54" i="7"/>
  <c r="R54" i="7"/>
  <c r="T54" i="7"/>
  <c r="T53" i="7" s="1"/>
  <c r="U54" i="7"/>
  <c r="W54" i="7"/>
  <c r="X54" i="7"/>
  <c r="Y54" i="7"/>
  <c r="Z54" i="7"/>
  <c r="AB54" i="7" s="1"/>
  <c r="AA54" i="7"/>
  <c r="AC54" i="7"/>
  <c r="AC53" i="7" s="1"/>
  <c r="AD54" i="7"/>
  <c r="AE54" i="7" s="1"/>
  <c r="AH54" i="7"/>
  <c r="AI54" i="7"/>
  <c r="D55" i="7"/>
  <c r="F53" i="7"/>
  <c r="J55" i="7"/>
  <c r="M55" i="7"/>
  <c r="N55" i="7"/>
  <c r="O55" i="7"/>
  <c r="Q55" i="7"/>
  <c r="R55" i="7"/>
  <c r="T55" i="7"/>
  <c r="U55" i="7"/>
  <c r="U56" i="7" s="1"/>
  <c r="W55" i="7"/>
  <c r="X55" i="7"/>
  <c r="X92" i="7" s="1"/>
  <c r="Z55" i="7"/>
  <c r="AA55" i="7"/>
  <c r="AC55" i="7"/>
  <c r="AD55" i="7"/>
  <c r="AH55" i="7"/>
  <c r="B57" i="7"/>
  <c r="C57" i="7"/>
  <c r="D57" i="7" s="1"/>
  <c r="F57" i="7"/>
  <c r="G57" i="7" s="1"/>
  <c r="I57" i="7"/>
  <c r="M58" i="7"/>
  <c r="N58" i="7"/>
  <c r="O58" i="7"/>
  <c r="Q58" i="7"/>
  <c r="R58" i="7"/>
  <c r="T58" i="7"/>
  <c r="T57" i="7" s="1"/>
  <c r="U58" i="7"/>
  <c r="V58" i="7" s="1"/>
  <c r="W58" i="7"/>
  <c r="W57" i="7"/>
  <c r="X58" i="7"/>
  <c r="Z58" i="7"/>
  <c r="AA58" i="7"/>
  <c r="AC58" i="7"/>
  <c r="AC57" i="7"/>
  <c r="AD58" i="7"/>
  <c r="AF58" i="7"/>
  <c r="AG58" i="7"/>
  <c r="AH58" i="7" s="1"/>
  <c r="AI58" i="7"/>
  <c r="AI57" i="7" s="1"/>
  <c r="M59" i="7"/>
  <c r="N59" i="7"/>
  <c r="N57" i="7" s="1"/>
  <c r="P57" i="7" s="1"/>
  <c r="O59" i="7"/>
  <c r="Q59" i="7"/>
  <c r="Q57" i="7" s="1"/>
  <c r="S57" i="7" s="1"/>
  <c r="R59" i="7"/>
  <c r="T59" i="7"/>
  <c r="V59" i="7" s="1"/>
  <c r="U59" i="7"/>
  <c r="Z59" i="7"/>
  <c r="AA59" i="7"/>
  <c r="AB59" i="7" s="1"/>
  <c r="AG61" i="7"/>
  <c r="E61" i="7"/>
  <c r="F61" i="7"/>
  <c r="G61" i="7" s="1"/>
  <c r="J62" i="7"/>
  <c r="N62" i="7"/>
  <c r="O62" i="7"/>
  <c r="P62" i="7"/>
  <c r="Q62" i="7"/>
  <c r="R62" i="7"/>
  <c r="T62" i="7"/>
  <c r="T61" i="7" s="1"/>
  <c r="U62" i="7"/>
  <c r="W62" i="7"/>
  <c r="W90" i="7" s="1"/>
  <c r="W93" i="7" s="1"/>
  <c r="X62" i="7"/>
  <c r="Z62" i="7"/>
  <c r="AA62" i="7"/>
  <c r="AC62" i="7"/>
  <c r="AD62" i="7"/>
  <c r="AE62" i="7"/>
  <c r="AF62" i="7"/>
  <c r="AF90" i="7" s="1"/>
  <c r="AI62" i="7"/>
  <c r="AI61" i="7" s="1"/>
  <c r="G63" i="7"/>
  <c r="K61" i="7"/>
  <c r="N63" i="7"/>
  <c r="N61" i="7"/>
  <c r="O63" i="7"/>
  <c r="P63" i="7" s="1"/>
  <c r="Q63" i="7"/>
  <c r="R63" i="7"/>
  <c r="R61" i="7" s="1"/>
  <c r="S61" i="7" s="1"/>
  <c r="T63" i="7"/>
  <c r="U63" i="7"/>
  <c r="W63" i="7"/>
  <c r="X63" i="7"/>
  <c r="X61" i="7" s="1"/>
  <c r="Z63" i="7"/>
  <c r="Z61" i="7" s="1"/>
  <c r="AA63" i="7"/>
  <c r="AC63" i="7"/>
  <c r="AC61" i="7"/>
  <c r="AD63" i="7"/>
  <c r="AF63" i="7"/>
  <c r="AH63" i="7"/>
  <c r="AI63" i="7"/>
  <c r="AF65" i="7"/>
  <c r="AG65" i="7"/>
  <c r="AH65" i="7" s="1"/>
  <c r="J66" i="7"/>
  <c r="M66" i="7"/>
  <c r="N66" i="7"/>
  <c r="O66" i="7"/>
  <c r="Q66" i="7"/>
  <c r="R66" i="7"/>
  <c r="T66" i="7"/>
  <c r="U66" i="7"/>
  <c r="W66" i="7"/>
  <c r="X66" i="7"/>
  <c r="Y66" i="7"/>
  <c r="Z66" i="7"/>
  <c r="Z65" i="7"/>
  <c r="AA66" i="7"/>
  <c r="AB66" i="7"/>
  <c r="AC66" i="7"/>
  <c r="AD66" i="7"/>
  <c r="AH66" i="7"/>
  <c r="AI66" i="7"/>
  <c r="AI65" i="7" s="1"/>
  <c r="E65" i="7"/>
  <c r="H65" i="7"/>
  <c r="K65" i="7"/>
  <c r="N67" i="7"/>
  <c r="O67" i="7"/>
  <c r="Q67" i="7"/>
  <c r="Q65" i="7"/>
  <c r="R67" i="7"/>
  <c r="R65" i="7" s="1"/>
  <c r="S65" i="7" s="1"/>
  <c r="S67" i="7"/>
  <c r="T67" i="7"/>
  <c r="U67" i="7"/>
  <c r="U65" i="7" s="1"/>
  <c r="V65" i="7" s="1"/>
  <c r="W67" i="7"/>
  <c r="X67" i="7"/>
  <c r="Z67" i="7"/>
  <c r="AA67" i="7"/>
  <c r="AC67" i="7"/>
  <c r="AD67" i="7"/>
  <c r="AD65" i="7" s="1"/>
  <c r="AE65" i="7" s="1"/>
  <c r="AH67" i="7"/>
  <c r="AI67" i="7"/>
  <c r="AF69" i="7"/>
  <c r="AG69" i="7"/>
  <c r="AH69" i="7"/>
  <c r="D70" i="7"/>
  <c r="M70" i="7"/>
  <c r="N70" i="7"/>
  <c r="N69" i="7" s="1"/>
  <c r="O70" i="7"/>
  <c r="O69" i="7" s="1"/>
  <c r="P69" i="7" s="1"/>
  <c r="Q70" i="7"/>
  <c r="R70" i="7"/>
  <c r="S70" i="7" s="1"/>
  <c r="T70" i="7"/>
  <c r="U70" i="7"/>
  <c r="W70" i="7"/>
  <c r="X70" i="7"/>
  <c r="Y70" i="7" s="1"/>
  <c r="Z70" i="7"/>
  <c r="AA70" i="7"/>
  <c r="AC70" i="7"/>
  <c r="AC69" i="7"/>
  <c r="AD70" i="7"/>
  <c r="AD69" i="7" s="1"/>
  <c r="AE69" i="7" s="1"/>
  <c r="AH70" i="7"/>
  <c r="AI70" i="7"/>
  <c r="D71" i="7"/>
  <c r="E69" i="7"/>
  <c r="G71" i="7"/>
  <c r="N71" i="7"/>
  <c r="P71" i="7" s="1"/>
  <c r="O71" i="7"/>
  <c r="Q71" i="7"/>
  <c r="R71" i="7"/>
  <c r="S71" i="7"/>
  <c r="T71" i="7"/>
  <c r="U71" i="7"/>
  <c r="V71" i="7"/>
  <c r="W71" i="7"/>
  <c r="W92" i="7" s="1"/>
  <c r="X71" i="7"/>
  <c r="X69" i="7" s="1"/>
  <c r="Z71" i="7"/>
  <c r="Z69" i="7"/>
  <c r="AB71" i="7"/>
  <c r="AA71" i="7"/>
  <c r="AC71" i="7"/>
  <c r="AD71" i="7"/>
  <c r="AH71" i="7"/>
  <c r="AI71" i="7"/>
  <c r="AF73" i="7"/>
  <c r="AG73" i="7"/>
  <c r="AH73" i="7"/>
  <c r="G74" i="7"/>
  <c r="M74" i="7"/>
  <c r="N74" i="7"/>
  <c r="N73" i="7"/>
  <c r="O74" i="7"/>
  <c r="Q74" i="7"/>
  <c r="R74" i="7"/>
  <c r="S74" i="7" s="1"/>
  <c r="T74" i="7"/>
  <c r="U74" i="7"/>
  <c r="U73" i="7" s="1"/>
  <c r="V73" i="7" s="1"/>
  <c r="W74" i="7"/>
  <c r="W73" i="7" s="1"/>
  <c r="X74" i="7"/>
  <c r="X73" i="7" s="1"/>
  <c r="Z74" i="7"/>
  <c r="AA74" i="7"/>
  <c r="AC74" i="7"/>
  <c r="AC73" i="7" s="1"/>
  <c r="AD74" i="7"/>
  <c r="AH74" i="7"/>
  <c r="AI74" i="7"/>
  <c r="AI73" i="7" s="1"/>
  <c r="C73" i="7"/>
  <c r="D73" i="7" s="1"/>
  <c r="G75" i="7"/>
  <c r="H73" i="7"/>
  <c r="M75" i="7"/>
  <c r="N75" i="7"/>
  <c r="P75" i="7" s="1"/>
  <c r="O75" i="7"/>
  <c r="Q75" i="7"/>
  <c r="S75" i="7" s="1"/>
  <c r="R75" i="7"/>
  <c r="T75" i="7"/>
  <c r="U75" i="7"/>
  <c r="W75" i="7"/>
  <c r="X75" i="7"/>
  <c r="Z75" i="7"/>
  <c r="AA75" i="7"/>
  <c r="AA73" i="7" s="1"/>
  <c r="AB73" i="7" s="1"/>
  <c r="AC75" i="7"/>
  <c r="AD75" i="7"/>
  <c r="AE75" i="7" s="1"/>
  <c r="AH75" i="7"/>
  <c r="AI75" i="7"/>
  <c r="AF77" i="7"/>
  <c r="AG77" i="7"/>
  <c r="AH77" i="7" s="1"/>
  <c r="D78" i="7"/>
  <c r="E77" i="7"/>
  <c r="F77" i="7"/>
  <c r="J78" i="7"/>
  <c r="L77" i="7"/>
  <c r="N78" i="7"/>
  <c r="N77" i="7" s="1"/>
  <c r="P77" i="7" s="1"/>
  <c r="O78" i="7"/>
  <c r="P78" i="7"/>
  <c r="Q78" i="7"/>
  <c r="S78" i="7" s="1"/>
  <c r="R78" i="7"/>
  <c r="T78" i="7"/>
  <c r="T77" i="7" s="1"/>
  <c r="V77" i="7" s="1"/>
  <c r="U78" i="7"/>
  <c r="W78" i="7"/>
  <c r="X78" i="7"/>
  <c r="Z78" i="7"/>
  <c r="AA78" i="7"/>
  <c r="AA77" i="7" s="1"/>
  <c r="AB77" i="7" s="1"/>
  <c r="AC78" i="7"/>
  <c r="AC77" i="7"/>
  <c r="AD78" i="7"/>
  <c r="AE78" i="7" s="1"/>
  <c r="AH78" i="7"/>
  <c r="AI78" i="7"/>
  <c r="N79" i="7"/>
  <c r="O79" i="7"/>
  <c r="P79" i="7" s="1"/>
  <c r="Q79" i="7"/>
  <c r="R79" i="7"/>
  <c r="R77" i="7" s="1"/>
  <c r="S77" i="7" s="1"/>
  <c r="S79" i="7"/>
  <c r="T79" i="7"/>
  <c r="V79" i="7"/>
  <c r="U79" i="7"/>
  <c r="W79" i="7"/>
  <c r="W77" i="7" s="1"/>
  <c r="X79" i="7"/>
  <c r="Z79" i="7"/>
  <c r="AA79" i="7"/>
  <c r="AB79" i="7"/>
  <c r="AC79" i="7"/>
  <c r="AD79" i="7"/>
  <c r="AE79" i="7"/>
  <c r="AH79" i="7"/>
  <c r="AI79" i="7"/>
  <c r="AI77" i="7"/>
  <c r="AG81" i="7"/>
  <c r="N82" i="7"/>
  <c r="P82" i="7" s="1"/>
  <c r="O82" i="7"/>
  <c r="Q82" i="7"/>
  <c r="R82" i="7"/>
  <c r="S82" i="7" s="1"/>
  <c r="T82" i="7"/>
  <c r="U82" i="7"/>
  <c r="W82" i="7"/>
  <c r="Y82" i="7"/>
  <c r="W81" i="7"/>
  <c r="Y81" i="7" s="1"/>
  <c r="X82" i="7"/>
  <c r="Z82" i="7"/>
  <c r="AB82" i="7" s="1"/>
  <c r="AA82" i="7"/>
  <c r="AC82" i="7"/>
  <c r="AD82" i="7"/>
  <c r="AH82" i="7"/>
  <c r="AI82" i="7"/>
  <c r="AI81" i="7" s="1"/>
  <c r="B81" i="7"/>
  <c r="G83" i="7"/>
  <c r="H81" i="7"/>
  <c r="M83" i="7"/>
  <c r="N83" i="7"/>
  <c r="O83" i="7"/>
  <c r="Q83" i="7"/>
  <c r="Q81" i="7"/>
  <c r="R83" i="7"/>
  <c r="R81" i="7" s="1"/>
  <c r="S81" i="7" s="1"/>
  <c r="T83" i="7"/>
  <c r="T81" i="7" s="1"/>
  <c r="U83" i="7"/>
  <c r="V83" i="7"/>
  <c r="W83" i="7"/>
  <c r="X83" i="7"/>
  <c r="Y83" i="7" s="1"/>
  <c r="Z83" i="7"/>
  <c r="AA83" i="7"/>
  <c r="AC83" i="7"/>
  <c r="AC81" i="7"/>
  <c r="AE83" i="7"/>
  <c r="AD83" i="7"/>
  <c r="AD81" i="7"/>
  <c r="AE81" i="7" s="1"/>
  <c r="AF83" i="7"/>
  <c r="AH83" i="7" s="1"/>
  <c r="AF81" i="7"/>
  <c r="AI83" i="7"/>
  <c r="B85" i="7"/>
  <c r="C85" i="7"/>
  <c r="E85" i="7"/>
  <c r="F85" i="7"/>
  <c r="H85" i="7"/>
  <c r="I85" i="7"/>
  <c r="K85" i="7"/>
  <c r="L85" i="7"/>
  <c r="N85" i="7"/>
  <c r="O85" i="7"/>
  <c r="Q85" i="7"/>
  <c r="R85" i="7"/>
  <c r="T85" i="7"/>
  <c r="U85" i="7"/>
  <c r="W85" i="7"/>
  <c r="X85" i="7"/>
  <c r="Z86" i="7"/>
  <c r="Z85" i="7"/>
  <c r="AA86" i="7"/>
  <c r="AC86" i="7"/>
  <c r="AC90" i="7" s="1"/>
  <c r="AC93" i="7" s="1"/>
  <c r="AD86" i="7"/>
  <c r="AF86" i="7"/>
  <c r="AG86" i="7"/>
  <c r="AI86" i="7"/>
  <c r="Z87" i="7"/>
  <c r="AA87" i="7"/>
  <c r="AB87" i="7" s="1"/>
  <c r="AC87" i="7"/>
  <c r="AE87" i="7"/>
  <c r="AD87" i="7"/>
  <c r="AF87" i="7"/>
  <c r="AF92" i="7" s="1"/>
  <c r="AH92" i="7" s="1"/>
  <c r="AG87" i="7"/>
  <c r="AI87" i="7"/>
  <c r="AI85" i="7"/>
  <c r="N91" i="7"/>
  <c r="O91" i="7"/>
  <c r="P91" i="7"/>
  <c r="T91" i="7"/>
  <c r="AD91" i="7"/>
  <c r="AF91" i="7"/>
  <c r="AG91" i="7"/>
  <c r="AH91" i="7" s="1"/>
  <c r="AI91" i="7"/>
  <c r="AF123" i="7"/>
  <c r="AF126" i="7" s="1"/>
  <c r="AG123" i="7"/>
  <c r="AF124" i="7"/>
  <c r="AG124" i="7"/>
  <c r="AF125" i="7"/>
  <c r="AG125" i="7"/>
  <c r="AI53" i="7"/>
  <c r="AD49" i="7"/>
  <c r="AE49" i="7" s="1"/>
  <c r="U28" i="7"/>
  <c r="R12" i="7"/>
  <c r="S12" i="7" s="1"/>
  <c r="V82" i="7"/>
  <c r="AB74" i="7"/>
  <c r="V74" i="7"/>
  <c r="P66" i="7"/>
  <c r="AB25" i="7"/>
  <c r="O45" i="7"/>
  <c r="S17" i="7"/>
  <c r="R16" i="7"/>
  <c r="AI12" i="7"/>
  <c r="R73" i="7"/>
  <c r="AD53" i="7"/>
  <c r="Y29" i="7"/>
  <c r="AE55" i="7"/>
  <c r="O49" i="7"/>
  <c r="S47" i="7"/>
  <c r="V34" i="7"/>
  <c r="Q28" i="7"/>
  <c r="AA57" i="7"/>
  <c r="S30" i="7"/>
  <c r="S14" i="7"/>
  <c r="Y62" i="7"/>
  <c r="AA81" i="7"/>
  <c r="S26" i="7"/>
  <c r="P29" i="7"/>
  <c r="Y18" i="7"/>
  <c r="AD85" i="7"/>
  <c r="R32" i="7"/>
  <c r="S32" i="7"/>
  <c r="Z91" i="7"/>
  <c r="AB42" i="7"/>
  <c r="AF12" i="7"/>
  <c r="P58" i="7"/>
  <c r="P83" i="7"/>
  <c r="O81" i="7"/>
  <c r="W49" i="7"/>
  <c r="AA32" i="7"/>
  <c r="AB32" i="7" s="1"/>
  <c r="V33" i="7"/>
  <c r="T40" i="7"/>
  <c r="AC91" i="7"/>
  <c r="AE42" i="7"/>
  <c r="S66" i="7"/>
  <c r="AB78" i="7"/>
  <c r="Z77" i="7"/>
  <c r="O65" i="7"/>
  <c r="Z57" i="7"/>
  <c r="AB57" i="7" s="1"/>
  <c r="AB58" i="7"/>
  <c r="S58" i="7"/>
  <c r="R49" i="7"/>
  <c r="S49" i="7" s="1"/>
  <c r="S51" i="7"/>
  <c r="V37" i="7"/>
  <c r="AG28" i="7"/>
  <c r="AH28" i="7" s="1"/>
  <c r="AG92" i="7"/>
  <c r="AE17" i="7"/>
  <c r="Q69" i="7"/>
  <c r="R40" i="7"/>
  <c r="S40" i="7" s="1"/>
  <c r="AA40" i="7"/>
  <c r="O16" i="7"/>
  <c r="P16" i="7"/>
  <c r="P17" i="7"/>
  <c r="O77" i="7"/>
  <c r="AD45" i="7"/>
  <c r="R24" i="7"/>
  <c r="S24" i="7" s="1"/>
  <c r="X91" i="7"/>
  <c r="Y42" i="7"/>
  <c r="V38" i="7"/>
  <c r="T36" i="7"/>
  <c r="X40" i="7"/>
  <c r="Y40" i="7" s="1"/>
  <c r="Z73" i="7"/>
  <c r="P33" i="7"/>
  <c r="O32" i="7"/>
  <c r="AF16" i="7"/>
  <c r="X81" i="7"/>
  <c r="Y67" i="7"/>
  <c r="X65" i="7"/>
  <c r="Y65" i="7" s="1"/>
  <c r="Q53" i="7"/>
  <c r="S53" i="7"/>
  <c r="T69" i="7"/>
  <c r="AH40" i="7"/>
  <c r="X32" i="7"/>
  <c r="O12" i="7"/>
  <c r="O92" i="7"/>
  <c r="AH81" i="7"/>
  <c r="V66" i="7"/>
  <c r="V25" i="7"/>
  <c r="O73" i="7"/>
  <c r="P73" i="7" s="1"/>
  <c r="R57" i="7"/>
  <c r="U45" i="7"/>
  <c r="V45" i="7" s="1"/>
  <c r="Y78" i="7"/>
  <c r="AB70" i="7"/>
  <c r="AA69" i="7"/>
  <c r="AB69" i="7"/>
  <c r="W65" i="7"/>
  <c r="AB83" i="7"/>
  <c r="S55" i="7"/>
  <c r="AC24" i="7"/>
  <c r="O90" i="7"/>
  <c r="O93" i="7" s="1"/>
  <c r="AB91" i="7"/>
  <c r="AC65" i="7"/>
  <c r="AE67" i="7"/>
  <c r="AI32" i="7"/>
  <c r="O28" i="7"/>
  <c r="P28" i="7" s="1"/>
  <c r="Z12" i="7"/>
  <c r="AB13" i="7"/>
  <c r="Y13" i="7"/>
  <c r="V54" i="7"/>
  <c r="T45" i="7"/>
  <c r="Z92" i="7"/>
  <c r="P38" i="7"/>
  <c r="X12" i="7"/>
  <c r="Y12" i="7" s="1"/>
  <c r="S38" i="7"/>
  <c r="R36" i="7"/>
  <c r="S36" i="7" s="1"/>
  <c r="AA90" i="7"/>
  <c r="AB17" i="7"/>
  <c r="AA16" i="7"/>
  <c r="AE66" i="7"/>
  <c r="U61" i="7"/>
  <c r="V61" i="7" s="1"/>
  <c r="V62" i="7"/>
  <c r="AE26" i="7"/>
  <c r="AD92" i="7"/>
  <c r="AE92" i="7" s="1"/>
  <c r="U24" i="7"/>
  <c r="V24" i="7" s="1"/>
  <c r="AE82" i="7"/>
  <c r="Y63" i="7"/>
  <c r="AA28" i="7"/>
  <c r="AB28" i="7" s="1"/>
  <c r="AG90" i="7"/>
  <c r="AG93" i="7" s="1"/>
  <c r="AH13" i="7"/>
  <c r="S33" i="7"/>
  <c r="AG126" i="7"/>
  <c r="AE91" i="7"/>
  <c r="AG85" i="7"/>
  <c r="AH86" i="7"/>
  <c r="AB55" i="7"/>
  <c r="AA53" i="7"/>
  <c r="P55" i="7"/>
  <c r="O53" i="7"/>
  <c r="P53" i="7" s="1"/>
  <c r="R53" i="7"/>
  <c r="S54" i="7"/>
  <c r="T12" i="7"/>
  <c r="X57" i="7"/>
  <c r="Y57" i="7" s="1"/>
  <c r="Y58" i="7"/>
  <c r="AB38" i="7"/>
  <c r="AB29" i="7"/>
  <c r="AB33" i="7"/>
  <c r="Q40" i="7"/>
  <c r="Q91" i="7"/>
  <c r="V30" i="7"/>
  <c r="T73" i="7"/>
  <c r="Y79" i="7"/>
  <c r="X77" i="7"/>
  <c r="AF57" i="7"/>
  <c r="AE33" i="7"/>
  <c r="AD32" i="7"/>
  <c r="AH17" i="7"/>
  <c r="AG16" i="7"/>
  <c r="AH16" i="7" s="1"/>
  <c r="P67" i="7"/>
  <c r="N65" i="7"/>
  <c r="P65" i="7" s="1"/>
  <c r="Q61" i="7"/>
  <c r="S62" i="7"/>
  <c r="Y41" i="7"/>
  <c r="N12" i="7"/>
  <c r="P12" i="7" s="1"/>
  <c r="AE74" i="7"/>
  <c r="AE71" i="7"/>
  <c r="AC45" i="7"/>
  <c r="AE45" i="7" s="1"/>
  <c r="AE46" i="7"/>
  <c r="AE41" i="7"/>
  <c r="AB46" i="7"/>
  <c r="AA45" i="7"/>
  <c r="AB45" i="7"/>
  <c r="X36" i="7"/>
  <c r="Y36" i="7" s="1"/>
  <c r="S18" i="7"/>
  <c r="P51" i="7"/>
  <c r="AA24" i="7"/>
  <c r="P18" i="7"/>
  <c r="V13" i="7"/>
  <c r="U81" i="7"/>
  <c r="V81" i="7" s="1"/>
  <c r="Z45" i="7"/>
  <c r="Q77" i="7"/>
  <c r="V75" i="7"/>
  <c r="S50" i="7"/>
  <c r="P41" i="7"/>
  <c r="O40" i="7"/>
  <c r="AC36" i="7"/>
  <c r="W32" i="7"/>
  <c r="Y32" i="7" s="1"/>
  <c r="AH29" i="7"/>
  <c r="AF28" i="7"/>
  <c r="D17" i="7"/>
  <c r="AI69" i="7"/>
  <c r="P59" i="7"/>
  <c r="O57" i="7"/>
  <c r="S83" i="7"/>
  <c r="P25" i="7"/>
  <c r="O24" i="7"/>
  <c r="AC32" i="7"/>
  <c r="AE32" i="7" s="1"/>
  <c r="AB37" i="7"/>
  <c r="Z36" i="7"/>
  <c r="AH12" i="7"/>
  <c r="AB63" i="7"/>
  <c r="Y26" i="7"/>
  <c r="X24" i="7"/>
  <c r="Y24" i="7"/>
  <c r="AB62" i="7"/>
  <c r="AA61" i="7"/>
  <c r="AB61" i="7" s="1"/>
  <c r="Y38" i="7"/>
  <c r="W36" i="7"/>
  <c r="W16" i="7"/>
  <c r="S29" i="7"/>
  <c r="W91" i="7"/>
  <c r="AD61" i="7"/>
  <c r="AE61" i="7" s="1"/>
  <c r="Y91" i="7"/>
  <c r="AA85" i="7"/>
  <c r="AB85" i="7" s="1"/>
  <c r="AB86" i="7"/>
  <c r="AC92" i="7"/>
  <c r="AE70" i="7"/>
  <c r="U77" i="7"/>
  <c r="V70" i="7"/>
  <c r="U69" i="7"/>
  <c r="V69" i="7" s="1"/>
  <c r="P47" i="7"/>
  <c r="N45" i="7"/>
  <c r="P45" i="7" s="1"/>
  <c r="U49" i="7"/>
  <c r="AB67" i="7"/>
  <c r="AA65" i="7"/>
  <c r="AB65" i="7"/>
  <c r="W53" i="7"/>
  <c r="AC49" i="7"/>
  <c r="X45" i="7"/>
  <c r="Y45" i="7" s="1"/>
  <c r="Y46" i="7"/>
  <c r="R28" i="7"/>
  <c r="S28" i="7" s="1"/>
  <c r="P74" i="7"/>
  <c r="AE63" i="7"/>
  <c r="AE58" i="7"/>
  <c r="AD57" i="7"/>
  <c r="AE57" i="7" s="1"/>
  <c r="N40" i="7"/>
  <c r="P40" i="7" s="1"/>
  <c r="Y75" i="7"/>
  <c r="T65" i="7"/>
  <c r="V41" i="7"/>
  <c r="AD90" i="7"/>
  <c r="AE90" i="7" s="1"/>
  <c r="V63" i="7"/>
  <c r="AE50" i="7"/>
  <c r="AB18" i="7"/>
  <c r="X28" i="7"/>
  <c r="AB34" i="7"/>
  <c r="Y25" i="7"/>
  <c r="AD93" i="7"/>
  <c r="AE93" i="7" s="1"/>
  <c r="H28" i="7"/>
  <c r="J28" i="7"/>
  <c r="L91" i="7"/>
  <c r="K77" i="7"/>
  <c r="D74" i="7"/>
  <c r="B61" i="7"/>
  <c r="I40" i="7"/>
  <c r="K73" i="7"/>
  <c r="C16" i="7"/>
  <c r="G70" i="7"/>
  <c r="B45" i="7"/>
  <c r="L40" i="7"/>
  <c r="G13" i="7"/>
  <c r="B73" i="7"/>
  <c r="C69" i="7"/>
  <c r="D69" i="7"/>
  <c r="I81" i="7"/>
  <c r="G54" i="7"/>
  <c r="G55" i="7"/>
  <c r="C20" i="7"/>
  <c r="B77" i="7"/>
  <c r="G38" i="7"/>
  <c r="B36" i="7"/>
  <c r="H61" i="7"/>
  <c r="M43" i="7"/>
  <c r="G18" i="7"/>
  <c r="I12" i="7"/>
  <c r="K49" i="7"/>
  <c r="D82" i="7"/>
  <c r="F36" i="7"/>
  <c r="G66" i="7"/>
  <c r="K91" i="7"/>
  <c r="E91" i="7"/>
  <c r="E101" i="7"/>
  <c r="I73" i="7"/>
  <c r="I65" i="7"/>
  <c r="B69" i="7"/>
  <c r="J17" i="7"/>
  <c r="J51" i="7"/>
  <c r="B49" i="7"/>
  <c r="E49" i="7"/>
  <c r="F81" i="7"/>
  <c r="D46" i="7"/>
  <c r="I49" i="7"/>
  <c r="F16" i="7"/>
  <c r="E73" i="7"/>
  <c r="M71" i="7"/>
  <c r="E57" i="7"/>
  <c r="E53" i="7"/>
  <c r="J26" i="7"/>
  <c r="K16" i="7"/>
  <c r="B53" i="7"/>
  <c r="D13" i="7"/>
  <c r="D67" i="7"/>
  <c r="C24" i="7"/>
  <c r="J13" i="7"/>
  <c r="I24" i="7"/>
  <c r="L45" i="7"/>
  <c r="L61" i="7"/>
  <c r="J37" i="7"/>
  <c r="F65" i="7"/>
  <c r="J74" i="7"/>
  <c r="C91" i="7"/>
  <c r="C101" i="7" s="1"/>
  <c r="H53" i="7"/>
  <c r="J79" i="7"/>
  <c r="G42" i="7"/>
  <c r="J71" i="7"/>
  <c r="E40" i="7"/>
  <c r="M18" i="7"/>
  <c r="M29" i="7"/>
  <c r="M37" i="7"/>
  <c r="M67" i="7"/>
  <c r="M62" i="7"/>
  <c r="C12" i="7"/>
  <c r="J82" i="7"/>
  <c r="D63" i="7"/>
  <c r="K57" i="7"/>
  <c r="G59" i="7"/>
  <c r="M51" i="7"/>
  <c r="G50" i="7"/>
  <c r="I45" i="7"/>
  <c r="J45" i="7" s="1"/>
  <c r="D38" i="7"/>
  <c r="I16" i="7"/>
  <c r="D58" i="7"/>
  <c r="L81" i="7"/>
  <c r="M25" i="7"/>
  <c r="J70" i="7"/>
  <c r="G17" i="7"/>
  <c r="L73" i="7"/>
  <c r="M73" i="7" s="1"/>
  <c r="G37" i="7"/>
  <c r="M78" i="7"/>
  <c r="M46" i="7"/>
  <c r="C77" i="7"/>
  <c r="D77" i="7"/>
  <c r="L57" i="7"/>
  <c r="D16" i="7"/>
  <c r="D83" i="7"/>
  <c r="G82" i="7"/>
  <c r="J59" i="7"/>
  <c r="D50" i="7"/>
  <c r="G22" i="7"/>
  <c r="D18" i="7"/>
  <c r="M57" i="7"/>
  <c r="E123" i="19" l="1"/>
  <c r="H123" i="19"/>
  <c r="I123" i="19"/>
  <c r="C123" i="19"/>
  <c r="D123" i="19"/>
  <c r="F123" i="19"/>
  <c r="G123" i="19"/>
  <c r="Y73" i="7"/>
  <c r="N93" i="7"/>
  <c r="P90" i="7"/>
  <c r="V32" i="7"/>
  <c r="Y77" i="7"/>
  <c r="AA93" i="7"/>
  <c r="AB93" i="7" s="1"/>
  <c r="Y92" i="7"/>
  <c r="Y61" i="7"/>
  <c r="AF93" i="7"/>
  <c r="AF100" i="7" s="1"/>
  <c r="P93" i="7"/>
  <c r="AE53" i="7"/>
  <c r="V28" i="7"/>
  <c r="P36" i="7"/>
  <c r="G77" i="7"/>
  <c r="I53" i="7"/>
  <c r="J53" i="7" s="1"/>
  <c r="M41" i="7"/>
  <c r="Q90" i="7"/>
  <c r="Q93" i="7" s="1"/>
  <c r="N49" i="7"/>
  <c r="P49" i="7" s="1"/>
  <c r="AB90" i="7"/>
  <c r="AF85" i="7"/>
  <c r="AH85" i="7" s="1"/>
  <c r="AH62" i="7"/>
  <c r="V47" i="7"/>
  <c r="X49" i="7"/>
  <c r="Y49" i="7" s="1"/>
  <c r="N81" i="7"/>
  <c r="P81" i="7" s="1"/>
  <c r="Y74" i="7"/>
  <c r="W69" i="7"/>
  <c r="Y69" i="7" s="1"/>
  <c r="AG57" i="7"/>
  <c r="AH57" i="7" s="1"/>
  <c r="U57" i="7"/>
  <c r="V57" i="7" s="1"/>
  <c r="H57" i="7"/>
  <c r="J57" i="7" s="1"/>
  <c r="L53" i="7"/>
  <c r="M53" i="7" s="1"/>
  <c r="AI45" i="7"/>
  <c r="G47" i="7"/>
  <c r="G46" i="7"/>
  <c r="J41" i="7"/>
  <c r="M32" i="7"/>
  <c r="L92" i="7"/>
  <c r="F12" i="7"/>
  <c r="G12" i="7" s="1"/>
  <c r="AH90" i="7"/>
  <c r="G78" i="7"/>
  <c r="Y71" i="7"/>
  <c r="AD73" i="7"/>
  <c r="AE73" i="7" s="1"/>
  <c r="R45" i="7"/>
  <c r="S45" i="7" s="1"/>
  <c r="R92" i="7"/>
  <c r="S92" i="7" s="1"/>
  <c r="V18" i="7"/>
  <c r="Z53" i="7"/>
  <c r="AB53" i="7" s="1"/>
  <c r="P70" i="7"/>
  <c r="AB50" i="7"/>
  <c r="U53" i="7"/>
  <c r="V53" i="7" s="1"/>
  <c r="AC85" i="7"/>
  <c r="AE85" i="7" s="1"/>
  <c r="AB75" i="7"/>
  <c r="V55" i="7"/>
  <c r="T90" i="7"/>
  <c r="T93" i="7" s="1"/>
  <c r="C92" i="7"/>
  <c r="D92" i="7" s="1"/>
  <c r="M12" i="7"/>
  <c r="S63" i="7"/>
  <c r="J16" i="7"/>
  <c r="F49" i="7"/>
  <c r="G49" i="7" s="1"/>
  <c r="AA92" i="7"/>
  <c r="AB92" i="7" s="1"/>
  <c r="Q92" i="7"/>
  <c r="AE86" i="7"/>
  <c r="R91" i="7"/>
  <c r="S91" i="7" s="1"/>
  <c r="K81" i="7"/>
  <c r="M81" i="7" s="1"/>
  <c r="C61" i="7"/>
  <c r="D61" i="7" s="1"/>
  <c r="J54" i="7"/>
  <c r="X53" i="7"/>
  <c r="Y53" i="7" s="1"/>
  <c r="AH87" i="7"/>
  <c r="E24" i="7"/>
  <c r="G24" i="7" s="1"/>
  <c r="M45" i="7"/>
  <c r="Y55" i="7"/>
  <c r="Q73" i="7"/>
  <c r="S73" i="7" s="1"/>
  <c r="W61" i="7"/>
  <c r="V17" i="7"/>
  <c r="AE13" i="7"/>
  <c r="K69" i="7"/>
  <c r="J50" i="7"/>
  <c r="C90" i="7"/>
  <c r="C93" i="7" s="1"/>
  <c r="H36" i="7"/>
  <c r="J36" i="7" s="1"/>
  <c r="L24" i="7"/>
  <c r="M24" i="7" s="1"/>
  <c r="D37" i="7"/>
  <c r="AD36" i="7"/>
  <c r="AE36" i="7" s="1"/>
  <c r="T16" i="7"/>
  <c r="U91" i="7"/>
  <c r="V91" i="7" s="1"/>
  <c r="O61" i="7"/>
  <c r="P61" i="7" s="1"/>
  <c r="Y17" i="7"/>
  <c r="AI90" i="7"/>
  <c r="AI93" i="7" s="1"/>
  <c r="I69" i="7"/>
  <c r="J69" i="7" s="1"/>
  <c r="C65" i="7"/>
  <c r="D65" i="7" s="1"/>
  <c r="M61" i="7"/>
  <c r="T49" i="7"/>
  <c r="V49" i="7" s="1"/>
  <c r="B40" i="7"/>
  <c r="G26" i="7"/>
  <c r="G16" i="7"/>
  <c r="Z90" i="7"/>
  <c r="Z93" i="7" s="1"/>
  <c r="I61" i="7"/>
  <c r="J61" i="7" s="1"/>
  <c r="M77" i="7"/>
  <c r="R90" i="7"/>
  <c r="AE18" i="7"/>
  <c r="P13" i="7"/>
  <c r="X90" i="7"/>
  <c r="Z81" i="7"/>
  <c r="AB81" i="7" s="1"/>
  <c r="J73" i="7"/>
  <c r="F73" i="7"/>
  <c r="G73" i="7" s="1"/>
  <c r="H69" i="7"/>
  <c r="B65" i="7"/>
  <c r="J63" i="7"/>
  <c r="G36" i="7"/>
  <c r="K36" i="7"/>
  <c r="J12" i="7"/>
  <c r="G65" i="7"/>
  <c r="F40" i="7"/>
  <c r="D75" i="7"/>
  <c r="B92" i="7"/>
  <c r="B102" i="7" s="1"/>
  <c r="D21" i="7"/>
  <c r="J46" i="7"/>
  <c r="M91" i="7"/>
  <c r="U40" i="7"/>
  <c r="V40" i="7" s="1"/>
  <c r="V78" i="7"/>
  <c r="AD24" i="7"/>
  <c r="AE24" i="7" s="1"/>
  <c r="AD77" i="7"/>
  <c r="AE77" i="7" s="1"/>
  <c r="AF61" i="7"/>
  <c r="AH61" i="7" s="1"/>
  <c r="R69" i="7"/>
  <c r="S69" i="7" s="1"/>
  <c r="P54" i="7"/>
  <c r="E81" i="7"/>
  <c r="G81" i="7" s="1"/>
  <c r="D54" i="7"/>
  <c r="M49" i="7"/>
  <c r="M47" i="7"/>
  <c r="L28" i="7"/>
  <c r="M28" i="7" s="1"/>
  <c r="E92" i="7"/>
  <c r="E102" i="7" s="1"/>
  <c r="E45" i="7"/>
  <c r="K92" i="7"/>
  <c r="D20" i="7"/>
  <c r="L36" i="7"/>
  <c r="M36" i="7" s="1"/>
  <c r="D51" i="7"/>
  <c r="N32" i="7"/>
  <c r="P32" i="7" s="1"/>
  <c r="C81" i="7"/>
  <c r="D81" i="7" s="1"/>
  <c r="D26" i="7"/>
  <c r="M16" i="7"/>
  <c r="G53" i="7"/>
  <c r="J83" i="7"/>
  <c r="K24" i="7"/>
  <c r="V67" i="7"/>
  <c r="P26" i="7"/>
  <c r="D79" i="7"/>
  <c r="I90" i="7"/>
  <c r="J90" i="7" s="1"/>
  <c r="U16" i="7"/>
  <c r="V16" i="7" s="1"/>
  <c r="H16" i="7"/>
  <c r="G67" i="7"/>
  <c r="L65" i="7"/>
  <c r="M65" i="7" s="1"/>
  <c r="H77" i="7"/>
  <c r="J67" i="7"/>
  <c r="K53" i="7"/>
  <c r="J42" i="7"/>
  <c r="H32" i="7"/>
  <c r="G21" i="7"/>
  <c r="C102" i="7"/>
  <c r="J65" i="7"/>
  <c r="C103" i="7"/>
  <c r="D90" i="7"/>
  <c r="J81" i="7"/>
  <c r="F101" i="7"/>
  <c r="G91" i="7"/>
  <c r="J75" i="7"/>
  <c r="F45" i="7"/>
  <c r="G45" i="7" s="1"/>
  <c r="D62" i="7"/>
  <c r="F90" i="7"/>
  <c r="C40" i="7"/>
  <c r="I92" i="7"/>
  <c r="F20" i="7"/>
  <c r="G20" i="7" s="1"/>
  <c r="E90" i="7"/>
  <c r="D66" i="7"/>
  <c r="C45" i="7"/>
  <c r="D45" i="7" s="1"/>
  <c r="M63" i="7"/>
  <c r="J38" i="7"/>
  <c r="D41" i="7"/>
  <c r="G62" i="7"/>
  <c r="G58" i="7"/>
  <c r="F69" i="7"/>
  <c r="G69" i="7" s="1"/>
  <c r="B24" i="7"/>
  <c r="D24" i="7" s="1"/>
  <c r="L69" i="7"/>
  <c r="K90" i="7"/>
  <c r="K93" i="7" s="1"/>
  <c r="H49" i="7"/>
  <c r="J49" i="7" s="1"/>
  <c r="J58" i="7"/>
  <c r="J33" i="7"/>
  <c r="I77" i="7"/>
  <c r="M26" i="7"/>
  <c r="M17" i="7"/>
  <c r="G14" i="7"/>
  <c r="H92" i="7"/>
  <c r="H93" i="7" s="1"/>
  <c r="L90" i="7"/>
  <c r="D25" i="7"/>
  <c r="M82" i="7"/>
  <c r="H40" i="7"/>
  <c r="J40" i="7" s="1"/>
  <c r="M13" i="7"/>
  <c r="F92" i="7"/>
  <c r="M34" i="7"/>
  <c r="I32" i="7"/>
  <c r="J32" i="7" s="1"/>
  <c r="Y90" i="7" l="1"/>
  <c r="X93" i="7"/>
  <c r="Y93" i="7" s="1"/>
  <c r="B93" i="7"/>
  <c r="D93" i="7" s="1"/>
  <c r="S90" i="7"/>
  <c r="R93" i="7"/>
  <c r="S93" i="7" s="1"/>
  <c r="AH93" i="7"/>
  <c r="B103" i="7"/>
  <c r="B105" i="7" s="1"/>
  <c r="U93" i="7"/>
  <c r="V93" i="7" s="1"/>
  <c r="M92" i="7"/>
  <c r="V90" i="7"/>
  <c r="J77" i="7"/>
  <c r="M69" i="7"/>
  <c r="J92" i="7"/>
  <c r="D40" i="7"/>
  <c r="G90" i="7"/>
  <c r="F93" i="7"/>
  <c r="I93" i="7"/>
  <c r="J93" i="7" s="1"/>
  <c r="F102" i="7"/>
  <c r="G92" i="7"/>
  <c r="L93" i="7"/>
  <c r="M93" i="7" s="1"/>
  <c r="M90" i="7"/>
  <c r="E103" i="7"/>
  <c r="E93" i="7"/>
  <c r="G93" i="7" l="1"/>
  <c r="F103" i="7"/>
</calcChain>
</file>

<file path=xl/sharedStrings.xml><?xml version="1.0" encoding="utf-8"?>
<sst xmlns="http://schemas.openxmlformats.org/spreadsheetml/2006/main" count="556" uniqueCount="251">
  <si>
    <t>Funcionamiento</t>
  </si>
  <si>
    <t>Deuda</t>
  </si>
  <si>
    <t>SECRETARIA DE GOBIERNO</t>
  </si>
  <si>
    <t>ADMINISTRACION CENTRAL DISTRITAL</t>
  </si>
  <si>
    <t>PRESUPUESTO</t>
  </si>
  <si>
    <t>EJECUTADO</t>
  </si>
  <si>
    <t>% EJEC.</t>
  </si>
  <si>
    <t>ENTIDADES</t>
  </si>
  <si>
    <t>CONCEJO</t>
  </si>
  <si>
    <t xml:space="preserve">SECRETARÍA GENERAL -  ALCALDIA MAYOR </t>
  </si>
  <si>
    <t>VEEDURIA</t>
  </si>
  <si>
    <t>SECRETARIA DE HACIENDA</t>
  </si>
  <si>
    <t>SECRETARIA DE EDUCACION</t>
  </si>
  <si>
    <t xml:space="preserve">SECRETARIA DE SALUD </t>
  </si>
  <si>
    <t>SECRETARIA DE OBRAS PUBLICAS</t>
  </si>
  <si>
    <t>SECRETARIA DE TRANSITO Y TRANSPORTE</t>
  </si>
  <si>
    <t>DEPTO ADMINISTRATIVO DE PLANEACION</t>
  </si>
  <si>
    <t>DEPTO ADMINISTRATIVO DE BIENESTAR SOCIAL</t>
  </si>
  <si>
    <t>DEPTO ADMINISTRATIVO ACCION COMUNAL</t>
  </si>
  <si>
    <t>GASTOS DE FUNCIONAMIENTO, DEUDA</t>
  </si>
  <si>
    <t>DEPTO ADMINISTRATIVO DE CATASTRO</t>
  </si>
  <si>
    <t>DEPTO ADMINISTRATIVO DE SERVICIO CIVIL</t>
  </si>
  <si>
    <t>DEPTO TÉCNICO ADMINISTRATIVO DE MEDIO AMBIENTE</t>
  </si>
  <si>
    <t>Inversión</t>
  </si>
  <si>
    <t>SECRETARÍA GENERAL -  UNIDAD DE SERVICIOS PÚBLICOS</t>
  </si>
  <si>
    <t>TOTAL ADMINISTRACIÓN CENTRAL</t>
  </si>
  <si>
    <t>Total Funcionamiento</t>
  </si>
  <si>
    <t>Total Deuda</t>
  </si>
  <si>
    <t>Total Inversión</t>
  </si>
  <si>
    <t>Tesorería</t>
  </si>
  <si>
    <t>Hacienda</t>
  </si>
  <si>
    <t>O.K.</t>
  </si>
  <si>
    <t>TESORERÍA</t>
  </si>
  <si>
    <r>
      <t>Elaboró</t>
    </r>
    <r>
      <rPr>
        <sz val="9"/>
        <rFont val="Arial"/>
        <family val="2"/>
      </rPr>
      <t>: SHD - Dirección Distrital de Presupuesto - SFD</t>
    </r>
  </si>
  <si>
    <t>DEPTO ADMINISTRATIVO DEFENSORÍA DEL ESPACIO PÚBLICO</t>
  </si>
  <si>
    <t>PERSONERÍA</t>
  </si>
  <si>
    <t>Hacienda 01</t>
  </si>
  <si>
    <t>Hacienda 02</t>
  </si>
  <si>
    <t>Hacienda 03</t>
  </si>
  <si>
    <t>Hacienda 04</t>
  </si>
  <si>
    <t>TOTAL HACIENDA</t>
  </si>
  <si>
    <t>1992-2003</t>
  </si>
  <si>
    <t>Millones de $ constantes de 2002</t>
  </si>
  <si>
    <t>N.A</t>
  </si>
  <si>
    <t>Predial Unificado</t>
  </si>
  <si>
    <t>Industria, Comercio y Avisos</t>
  </si>
  <si>
    <t>Azar y Espectáculos</t>
  </si>
  <si>
    <t>Vehículos Automotores</t>
  </si>
  <si>
    <t>Delineación Urbana</t>
  </si>
  <si>
    <t>Cigarrillos Extranjeros</t>
  </si>
  <si>
    <t>Consumo de Cerveza</t>
  </si>
  <si>
    <t>Sobretasa a la Gasolina</t>
  </si>
  <si>
    <t>Impuesto a la Publicidad Exterior Visual</t>
  </si>
  <si>
    <t>Fondo de los Pobres</t>
  </si>
  <si>
    <t>Impuesto al Deporte</t>
  </si>
  <si>
    <t>Estampilla Pro Cultura</t>
  </si>
  <si>
    <t>Estampilla Pro Personas Mayores</t>
  </si>
  <si>
    <t>Impuesto Unificado Fondo de Pobres, Azar y Espectáculos Públicos</t>
  </si>
  <si>
    <t>5% Contratos Obra Pública</t>
  </si>
  <si>
    <t>Estratificación</t>
  </si>
  <si>
    <t>Transito y Transporte</t>
  </si>
  <si>
    <t>Comparendo Ambiental</t>
  </si>
  <si>
    <t>Otras Multas</t>
  </si>
  <si>
    <t>Semaforización</t>
  </si>
  <si>
    <t>Cargas Urbanísticas por Edificabilidad</t>
  </si>
  <si>
    <t>Registro</t>
  </si>
  <si>
    <t>Consumo de Cigarrillos Nacionales</t>
  </si>
  <si>
    <t>Transporte de Gas</t>
  </si>
  <si>
    <t>Explotación de Canteras</t>
  </si>
  <si>
    <t>Plusvalía</t>
  </si>
  <si>
    <t>Sobretasa al ACPM</t>
  </si>
  <si>
    <t>IVA Cedido de Licores  - IDRD (Ley 788 de 2002)</t>
  </si>
  <si>
    <t>Instituto Distrital para la Recreación y el Deporte - IDRD</t>
  </si>
  <si>
    <t>Orquesta Filarmónica de Bogotá</t>
  </si>
  <si>
    <t>Instituto Distrital de Patrimonio Cultural</t>
  </si>
  <si>
    <t>Derechos de Tránsito</t>
  </si>
  <si>
    <t>Intereses Moratorios Impuestos</t>
  </si>
  <si>
    <t>Sanciones Tributarias</t>
  </si>
  <si>
    <t>Espectáculos Públicos de las Artes Escénicas (Ley 1493 de 2011)</t>
  </si>
  <si>
    <t>Educación</t>
  </si>
  <si>
    <t>Prestación del servicio</t>
  </si>
  <si>
    <t>Aportes patronales</t>
  </si>
  <si>
    <t>Pensionados nacionalizados</t>
  </si>
  <si>
    <t>Calidad</t>
  </si>
  <si>
    <t>Calidad Gratuidad</t>
  </si>
  <si>
    <t>Salud</t>
  </si>
  <si>
    <t>Régimen Subsidiado</t>
  </si>
  <si>
    <t>Vigencia Actual</t>
  </si>
  <si>
    <t>Salud Pública</t>
  </si>
  <si>
    <t>Propósito General</t>
  </si>
  <si>
    <t>Restaurantes Escolares</t>
  </si>
  <si>
    <t>Agua Potable y Saneamiento Básico</t>
  </si>
  <si>
    <t>15% SGP Participación Departamento APSB</t>
  </si>
  <si>
    <t>Atención Primera Infancia</t>
  </si>
  <si>
    <t>Río Bogotá</t>
  </si>
  <si>
    <t>Aportes al Fondo de Pensiones Públicas</t>
  </si>
  <si>
    <t>Convenios Entidades</t>
  </si>
  <si>
    <t>Fondo Cuenta de Financiación del Plan de Gestión Ambiental del Distrito Capital</t>
  </si>
  <si>
    <t>Transferencias del Sector Eléctrico</t>
  </si>
  <si>
    <t>Otros</t>
  </si>
  <si>
    <t>Otras</t>
  </si>
  <si>
    <t>DESAHORRO FONPET</t>
  </si>
  <si>
    <t>Superávit Fiscal</t>
  </si>
  <si>
    <t>Cancelación de Reservas</t>
  </si>
  <si>
    <t>Venta de Activos</t>
  </si>
  <si>
    <t>Ventas de Acciones</t>
  </si>
  <si>
    <t>Recursos Reservas</t>
  </si>
  <si>
    <t>Recursos Pasivos Exigibles</t>
  </si>
  <si>
    <t>Otros Recursos del Balance de Destinación Específica</t>
  </si>
  <si>
    <t>Otros Recursos del Balance de Libre Destinación</t>
  </si>
  <si>
    <t>Recursos del Balance SGP Vigencia Anterior</t>
  </si>
  <si>
    <t>RECURSOS DEL CRÉDITO</t>
  </si>
  <si>
    <t>Crédito Vigencia</t>
  </si>
  <si>
    <t>Crédito Vigencia Anterior</t>
  </si>
  <si>
    <t>Rendimientos Provenientes de Recursos de Destinación Específica</t>
  </si>
  <si>
    <t>Rendimientos provenientes de Recursos de Libre Destinación</t>
  </si>
  <si>
    <t>DIFERENCIAL CAMBIARIO</t>
  </si>
  <si>
    <t>EXCEDENTES FINANCIEROS ESTABLECIMIENTOS PÚBLICOS Y UTILIDADES EMPRESAS</t>
  </si>
  <si>
    <t>DONACIONES</t>
  </si>
  <si>
    <t>OTROS RECURSOS DE CAPITAL</t>
  </si>
  <si>
    <t>Transporte por Oleoductos y Gasoductos</t>
  </si>
  <si>
    <t>Mejoramiento de la Calidad</t>
  </si>
  <si>
    <t>TRIBUTARIOS</t>
  </si>
  <si>
    <t>CORRIENTES</t>
  </si>
  <si>
    <t>NO TRIBUTARIOS</t>
  </si>
  <si>
    <t>SISTEMA GENERAL DE PARTICIPACIONES</t>
  </si>
  <si>
    <t>NACIÓN</t>
  </si>
  <si>
    <t xml:space="preserve">TRANSFERENCIAS </t>
  </si>
  <si>
    <t>RECURSOS DE CAPITAL</t>
  </si>
  <si>
    <t>TOTAL INGRESOS POR VIGENCIA</t>
  </si>
  <si>
    <t>RECURSOS DEL BALANCE</t>
  </si>
  <si>
    <t>RENDIMIENTOS POR OPERACIONES FINANCIERAS</t>
  </si>
  <si>
    <t>FONDO NACIONAL DE REGALIAS</t>
  </si>
  <si>
    <t>ENTIDADES DISTRITALES</t>
  </si>
  <si>
    <t>OTRAS TRANSFERENCIAS</t>
  </si>
  <si>
    <t>TASAS</t>
  </si>
  <si>
    <t>MULTAS</t>
  </si>
  <si>
    <t>CONTRIBUCIONES</t>
  </si>
  <si>
    <t>PARTICIPACIONES</t>
  </si>
  <si>
    <t>DERECHOS</t>
  </si>
  <si>
    <t>OTROS INGRESOS NO TRIBUTARIOS</t>
  </si>
  <si>
    <t>OTRAS TRANSFERENCIAS NACIÓN</t>
  </si>
  <si>
    <t>Elaboró: Dirección Distrital de Presupuesto - Subdirección Finanzas Distritales</t>
  </si>
  <si>
    <t>Fuente:  Ejecuciones presupuestales  Dirección Distrital de Tesoreria</t>
  </si>
  <si>
    <t>Código Nacional de Policía y Convivencia</t>
  </si>
  <si>
    <t>Recursos Pasivos Exigibles SGP</t>
  </si>
  <si>
    <t>Oferta</t>
  </si>
  <si>
    <t>Cultura</t>
  </si>
  <si>
    <t>Deporte</t>
  </si>
  <si>
    <t>Libre Destinación</t>
  </si>
  <si>
    <t>Alimentación Escolar</t>
  </si>
  <si>
    <t>15% Participación Departamento APSB</t>
  </si>
  <si>
    <t>Participaciones de ingresos tributarios y no tributarios</t>
  </si>
  <si>
    <t>Transferencias corrientes de derechos económicos por uso de recursos naturales -Regalías Régimen anterior</t>
  </si>
  <si>
    <t>DEPARTAMENTALES</t>
  </si>
  <si>
    <t>Valorización</t>
  </si>
  <si>
    <t>Empresas Superávit Fondo de Solidaridad y Redistribución de Ingresos</t>
  </si>
  <si>
    <t>Impuesto a la publicidad exterior visual</t>
  </si>
  <si>
    <t>Tasas y derechos administrativos</t>
  </si>
  <si>
    <t>Impuesto sobre vehículos automotores</t>
  </si>
  <si>
    <t>Impuesto de industria y comercio</t>
  </si>
  <si>
    <t>Intereses de mora</t>
  </si>
  <si>
    <t>Fuente: Ejecuciones presupuestales PREDIS - BOGDATA</t>
  </si>
  <si>
    <t>Tasa por Uso Aguas Subterráneas</t>
  </si>
  <si>
    <t>Aprovechamiento Económico del Espacio Público</t>
  </si>
  <si>
    <t>Contribución especial sobre contratos de obras públicas</t>
  </si>
  <si>
    <t>Impuesto de transporte por oleoductos y gasoductos</t>
  </si>
  <si>
    <t>Tala de Arboles</t>
  </si>
  <si>
    <t>Sobretasa a la gasolina</t>
  </si>
  <si>
    <t>Impuesto de delineación</t>
  </si>
  <si>
    <t>Impuesto de fondo de pobres</t>
  </si>
  <si>
    <t>Ingresos Corrientes</t>
  </si>
  <si>
    <t>Ingresos tributarios</t>
  </si>
  <si>
    <t>Impuestos directos</t>
  </si>
  <si>
    <t>Impuesto Predial Unificado</t>
  </si>
  <si>
    <t>Impuestos indirectos</t>
  </si>
  <si>
    <t>Impuesto al consumo de cervezas, sifones, refajos y mezclas</t>
  </si>
  <si>
    <t>Impuesto al consumo de cigarrillos y tabaco</t>
  </si>
  <si>
    <t>Estampillas</t>
  </si>
  <si>
    <t>Ingresos no tributarios</t>
  </si>
  <si>
    <t>Contribuciones</t>
  </si>
  <si>
    <t>Multas, sanciones e intereses de mora</t>
  </si>
  <si>
    <t>Multas y sanciones</t>
  </si>
  <si>
    <t>Venta de bienes y servicios</t>
  </si>
  <si>
    <t>Transferencias corrientes</t>
  </si>
  <si>
    <t>Sistema General de Participaciones</t>
  </si>
  <si>
    <t>Participaciones distintas del SGP</t>
  </si>
  <si>
    <t>Transferencias de otras entidades del gobierno general</t>
  </si>
  <si>
    <t>Recursos de capital</t>
  </si>
  <si>
    <t>Disposición de activos</t>
  </si>
  <si>
    <t>Excedentes financieros</t>
  </si>
  <si>
    <t>Dividendos y utilidades por otras inversiones de capital</t>
  </si>
  <si>
    <t>Rendimientos financieros</t>
  </si>
  <si>
    <t>Recursos de crédito externo</t>
  </si>
  <si>
    <t>Recursos de crédito interno</t>
  </si>
  <si>
    <t>Transferencias de capital</t>
  </si>
  <si>
    <t>Incentivos al Aprovechamiento y Tratamiento de Residuos Sólidos</t>
  </si>
  <si>
    <t>Recursos del balance</t>
  </si>
  <si>
    <t>Diferencial cambiario</t>
  </si>
  <si>
    <t>Retiros FONPET</t>
  </si>
  <si>
    <t>Reintegros y otros recursos no apropiados</t>
  </si>
  <si>
    <t>Sector eléctrico de empresas del orden Distrital</t>
  </si>
  <si>
    <t>Millones de $ corrientes</t>
  </si>
  <si>
    <t>Nota: El Ministerio de Hacienda y Crédito Público mediante resolución 3832 de 2019, ajustó el plan de cuentas integrando las transferencias al ingreso corriente.</t>
  </si>
  <si>
    <t>2012-2021</t>
  </si>
  <si>
    <t>2012</t>
  </si>
  <si>
    <t>2013</t>
  </si>
  <si>
    <t>2014</t>
  </si>
  <si>
    <t>2015</t>
  </si>
  <si>
    <t>2016</t>
  </si>
  <si>
    <t>2017</t>
  </si>
  <si>
    <t>2018</t>
  </si>
  <si>
    <t>2019</t>
  </si>
  <si>
    <t>ESTABLECIMIENTOS PUBLICOS</t>
  </si>
  <si>
    <t>Recaudo  Acumulados</t>
  </si>
  <si>
    <t>Transferencias</t>
  </si>
  <si>
    <t>Recursos de Capital</t>
  </si>
  <si>
    <t>Instituto para la Economía Social - IPES</t>
  </si>
  <si>
    <t>Fondo Financiero de Salud - FFDS</t>
  </si>
  <si>
    <t>FOPAE/ IDIGER</t>
  </si>
  <si>
    <t>Instituto de Desarrollo Urbano - IDU</t>
  </si>
  <si>
    <t>Fondo de Prestaciones Económicas, Cesantias y Pensiones - FONCEP</t>
  </si>
  <si>
    <t>Caja de Vivienda Popular</t>
  </si>
  <si>
    <t>Instituto Distrital de Recreación y Deporte - IDRD</t>
  </si>
  <si>
    <t>Instituto Distrital del Patrimonio Cultural - IDPC</t>
  </si>
  <si>
    <t>Instituto Distrital para la Protección de la Niñez y la Juventud - IDIPRON</t>
  </si>
  <si>
    <t>Fundación Gilberto Alzate Avendaño</t>
  </si>
  <si>
    <t>Fondo de Vigilancia y Seguridad</t>
  </si>
  <si>
    <t>Jardín Botánico "José Celestino Mutis"</t>
  </si>
  <si>
    <t>Instituto para la Investigación Educativa y el Desarrollo Pedagógico - IDEP</t>
  </si>
  <si>
    <t>Instituto Distrital de la Participación y Acción Comunal</t>
  </si>
  <si>
    <t>Instituto Distrital de Turismo</t>
  </si>
  <si>
    <t>Instituto Distrital de las Artes - IDARTES</t>
  </si>
  <si>
    <t>Unidad Administrativa Especial de Catastro Distrital</t>
  </si>
  <si>
    <t>Unidad Administrativa Especial de Rehabilitación y Mantenimiento Vial</t>
  </si>
  <si>
    <t>Unidad Administrativa Especial de Servicios Públicos</t>
  </si>
  <si>
    <t>Instituto Distrital de Protección y Bienestar Animal - IDPYBA</t>
  </si>
  <si>
    <t>Agencia Distrital para la Educación Superior la Ciencia y la Tecnología - ATENEA</t>
  </si>
  <si>
    <t>Ingresos Establecimientos Públicos</t>
  </si>
  <si>
    <t>Contraloría de Bogotá</t>
  </si>
  <si>
    <t>Universidad Distrital "Francisco José de Caldas"</t>
  </si>
  <si>
    <t>Transferencias Administración Central</t>
  </si>
  <si>
    <t>Instituto Distrital de Gestión de Riesgos y Cambio Climático - IDIGER</t>
  </si>
  <si>
    <t>2021</t>
  </si>
  <si>
    <t>RECAUDO</t>
  </si>
  <si>
    <t>RUBRO</t>
  </si>
  <si>
    <t>INGRESOS</t>
  </si>
  <si>
    <t>ENTIDAD</t>
  </si>
  <si>
    <t>2025
 Presupuesto Aprobado</t>
  </si>
  <si>
    <t>RECAUDO 2022 - 2024 Y PRESUPUESTO APROBADO 2025</t>
  </si>
  <si>
    <t xml:space="preserve"> Presupuesto Aprobado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</si>
</sst>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N$&quot;* #,##0_);_(&quot;N$&quot;* \(#,##0\);_(&quot;N$&quot;* &quot;-&quot;_);_(@_)"/>
    <numFmt numFmtId="165" formatCode="#,##0,,"/>
    <numFmt numFmtId="166" formatCode="0.0%"/>
  </numFmts>
  <fonts count="40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i/>
      <u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5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7"/>
      <color indexed="9"/>
      <name val="Arial"/>
      <family val="2"/>
    </font>
    <font>
      <b/>
      <sz val="7"/>
      <color indexed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0"/>
      <name val="Arial"/>
      <family val="2"/>
    </font>
    <font>
      <sz val="10"/>
      <color theme="0"/>
      <name val="Arial"/>
      <family val="2"/>
    </font>
    <font>
      <sz val="10"/>
      <color rgb="FF333333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</font>
    <font>
      <b/>
      <sz val="12"/>
      <name val="Britannic Bold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7" fillId="0" borderId="0"/>
    <xf numFmtId="0" fontId="18" fillId="0" borderId="0"/>
  </cellStyleXfs>
  <cellXfs count="219">
    <xf numFmtId="0" fontId="0" fillId="0" borderId="0" xfId="0"/>
    <xf numFmtId="0" fontId="2" fillId="0" borderId="0" xfId="0" applyFont="1"/>
    <xf numFmtId="3" fontId="2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/>
    </xf>
    <xf numFmtId="165" fontId="2" fillId="0" borderId="1" xfId="0" applyNumberFormat="1" applyFont="1" applyBorder="1"/>
    <xf numFmtId="166" fontId="3" fillId="0" borderId="2" xfId="0" applyNumberFormat="1" applyFont="1" applyBorder="1"/>
    <xf numFmtId="165" fontId="3" fillId="0" borderId="2" xfId="0" applyNumberFormat="1" applyFont="1" applyBorder="1"/>
    <xf numFmtId="166" fontId="2" fillId="0" borderId="0" xfId="0" applyNumberFormat="1" applyFont="1"/>
    <xf numFmtId="165" fontId="2" fillId="0" borderId="2" xfId="0" applyNumberFormat="1" applyFont="1" applyBorder="1"/>
    <xf numFmtId="165" fontId="2" fillId="0" borderId="3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/>
    <xf numFmtId="166" fontId="3" fillId="0" borderId="1" xfId="0" applyNumberFormat="1" applyFont="1" applyBorder="1"/>
    <xf numFmtId="166" fontId="2" fillId="0" borderId="2" xfId="0" applyNumberFormat="1" applyFont="1" applyBorder="1"/>
    <xf numFmtId="3" fontId="2" fillId="0" borderId="3" xfId="0" applyNumberFormat="1" applyFont="1" applyBorder="1"/>
    <xf numFmtId="165" fontId="4" fillId="0" borderId="0" xfId="0" applyNumberFormat="1" applyFont="1" applyAlignment="1">
      <alignment horizontal="center"/>
    </xf>
    <xf numFmtId="3" fontId="5" fillId="0" borderId="0" xfId="0" applyNumberFormat="1" applyFont="1"/>
    <xf numFmtId="0" fontId="6" fillId="0" borderId="3" xfId="0" applyFont="1" applyBorder="1" applyAlignment="1">
      <alignment horizont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165" fontId="7" fillId="0" borderId="1" xfId="0" applyNumberFormat="1" applyFont="1" applyBorder="1"/>
    <xf numFmtId="3" fontId="7" fillId="0" borderId="0" xfId="0" applyNumberFormat="1" applyFont="1"/>
    <xf numFmtId="3" fontId="2" fillId="0" borderId="2" xfId="0" applyNumberFormat="1" applyFont="1" applyBorder="1"/>
    <xf numFmtId="165" fontId="2" fillId="0" borderId="0" xfId="0" applyNumberFormat="1" applyFont="1"/>
    <xf numFmtId="165" fontId="3" fillId="0" borderId="0" xfId="0" applyNumberFormat="1" applyFont="1"/>
    <xf numFmtId="4" fontId="3" fillId="0" borderId="0" xfId="0" applyNumberFormat="1" applyFont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165" fontId="3" fillId="0" borderId="2" xfId="0" applyNumberFormat="1" applyFont="1" applyBorder="1" applyAlignment="1">
      <alignment horizontal="left"/>
    </xf>
    <xf numFmtId="0" fontId="3" fillId="0" borderId="0" xfId="0" applyFont="1"/>
    <xf numFmtId="165" fontId="5" fillId="0" borderId="0" xfId="0" applyNumberFormat="1" applyFont="1"/>
    <xf numFmtId="4" fontId="9" fillId="0" borderId="2" xfId="0" applyNumberFormat="1" applyFont="1" applyBorder="1"/>
    <xf numFmtId="0" fontId="8" fillId="0" borderId="0" xfId="0" applyFont="1"/>
    <xf numFmtId="3" fontId="8" fillId="0" borderId="0" xfId="0" applyNumberFormat="1" applyFont="1"/>
    <xf numFmtId="3" fontId="10" fillId="0" borderId="0" xfId="0" applyNumberFormat="1" applyFont="1"/>
    <xf numFmtId="3" fontId="11" fillId="0" borderId="0" xfId="0" applyNumberFormat="1" applyFont="1"/>
    <xf numFmtId="3" fontId="12" fillId="0" borderId="0" xfId="0" applyNumberFormat="1" applyFont="1"/>
    <xf numFmtId="3" fontId="14" fillId="0" borderId="0" xfId="0" applyNumberFormat="1" applyFont="1"/>
    <xf numFmtId="3" fontId="15" fillId="0" borderId="0" xfId="0" applyNumberFormat="1" applyFont="1"/>
    <xf numFmtId="165" fontId="2" fillId="0" borderId="2" xfId="0" applyNumberFormat="1" applyFont="1" applyBorder="1" applyAlignment="1">
      <alignment wrapText="1"/>
    </xf>
    <xf numFmtId="166" fontId="16" fillId="0" borderId="2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3" fontId="20" fillId="0" borderId="0" xfId="0" applyNumberFormat="1" applyFont="1"/>
    <xf numFmtId="165" fontId="2" fillId="0" borderId="5" xfId="0" applyNumberFormat="1" applyFont="1" applyBorder="1"/>
    <xf numFmtId="3" fontId="0" fillId="0" borderId="0" xfId="0" applyNumberFormat="1"/>
    <xf numFmtId="0" fontId="13" fillId="0" borderId="0" xfId="0" applyFont="1"/>
    <xf numFmtId="164" fontId="2" fillId="0" borderId="0" xfId="1" applyFont="1"/>
    <xf numFmtId="165" fontId="0" fillId="0" borderId="10" xfId="0" applyNumberFormat="1" applyBorder="1"/>
    <xf numFmtId="3" fontId="21" fillId="0" borderId="0" xfId="0" applyNumberFormat="1" applyFont="1"/>
    <xf numFmtId="165" fontId="13" fillId="0" borderId="1" xfId="0" applyNumberFormat="1" applyFont="1" applyBorder="1"/>
    <xf numFmtId="165" fontId="0" fillId="0" borderId="0" xfId="0" applyNumberFormat="1"/>
    <xf numFmtId="165" fontId="13" fillId="0" borderId="0" xfId="0" applyNumberFormat="1" applyFont="1"/>
    <xf numFmtId="0" fontId="17" fillId="0" borderId="0" xfId="0" applyFont="1"/>
    <xf numFmtId="3" fontId="17" fillId="0" borderId="0" xfId="0" applyNumberFormat="1" applyFont="1"/>
    <xf numFmtId="3" fontId="13" fillId="0" borderId="0" xfId="0" applyNumberFormat="1" applyFont="1"/>
    <xf numFmtId="3" fontId="23" fillId="0" borderId="0" xfId="0" applyNumberFormat="1" applyFont="1"/>
    <xf numFmtId="3" fontId="24" fillId="0" borderId="0" xfId="0" applyNumberFormat="1" applyFont="1"/>
    <xf numFmtId="3" fontId="26" fillId="0" borderId="11" xfId="0" applyNumberFormat="1" applyFont="1" applyBorder="1"/>
    <xf numFmtId="165" fontId="21" fillId="0" borderId="0" xfId="0" applyNumberFormat="1" applyFont="1"/>
    <xf numFmtId="165" fontId="27" fillId="0" borderId="0" xfId="0" applyNumberFormat="1" applyFont="1"/>
    <xf numFmtId="165" fontId="13" fillId="0" borderId="8" xfId="0" applyNumberFormat="1" applyFont="1" applyBorder="1"/>
    <xf numFmtId="0" fontId="28" fillId="0" borderId="0" xfId="0" applyFont="1"/>
    <xf numFmtId="3" fontId="28" fillId="0" borderId="0" xfId="0" applyNumberFormat="1" applyFont="1"/>
    <xf numFmtId="4" fontId="13" fillId="5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0" fontId="13" fillId="5" borderId="0" xfId="0" applyFont="1" applyFill="1"/>
    <xf numFmtId="0" fontId="7" fillId="0" borderId="0" xfId="0" applyFont="1"/>
    <xf numFmtId="0" fontId="30" fillId="0" borderId="5" xfId="0" applyFont="1" applyBorder="1"/>
    <xf numFmtId="165" fontId="31" fillId="0" borderId="5" xfId="0" applyNumberFormat="1" applyFont="1" applyBorder="1"/>
    <xf numFmtId="0" fontId="32" fillId="0" borderId="5" xfId="0" applyFont="1" applyBorder="1"/>
    <xf numFmtId="165" fontId="33" fillId="0" borderId="5" xfId="0" applyNumberFormat="1" applyFont="1" applyBorder="1"/>
    <xf numFmtId="165" fontId="33" fillId="0" borderId="0" xfId="0" applyNumberFormat="1" applyFont="1"/>
    <xf numFmtId="0" fontId="3" fillId="0" borderId="5" xfId="0" applyFont="1" applyBorder="1"/>
    <xf numFmtId="165" fontId="32" fillId="0" borderId="5" xfId="0" applyNumberFormat="1" applyFont="1" applyBorder="1"/>
    <xf numFmtId="0" fontId="34" fillId="2" borderId="0" xfId="0" applyFont="1" applyFill="1"/>
    <xf numFmtId="0" fontId="35" fillId="2" borderId="0" xfId="0" applyFont="1" applyFill="1"/>
    <xf numFmtId="0" fontId="35" fillId="0" borderId="0" xfId="0" applyFont="1"/>
    <xf numFmtId="3" fontId="32" fillId="0" borderId="5" xfId="0" applyNumberFormat="1" applyFont="1" applyBorder="1"/>
    <xf numFmtId="165" fontId="31" fillId="0" borderId="0" xfId="0" applyNumberFormat="1" applyFont="1"/>
    <xf numFmtId="0" fontId="32" fillId="0" borderId="4" xfId="0" applyFont="1" applyBorder="1"/>
    <xf numFmtId="165" fontId="33" fillId="0" borderId="4" xfId="0" applyNumberFormat="1" applyFont="1" applyBorder="1"/>
    <xf numFmtId="0" fontId="34" fillId="0" borderId="0" xfId="0" applyFont="1"/>
    <xf numFmtId="0" fontId="32" fillId="0" borderId="6" xfId="0" applyFont="1" applyBorder="1"/>
    <xf numFmtId="3" fontId="33" fillId="0" borderId="6" xfId="0" applyNumberFormat="1" applyFont="1" applyBorder="1"/>
    <xf numFmtId="0" fontId="20" fillId="0" borderId="0" xfId="0" applyFont="1"/>
    <xf numFmtId="3" fontId="36" fillId="0" borderId="0" xfId="0" applyNumberFormat="1" applyFont="1"/>
    <xf numFmtId="164" fontId="2" fillId="0" borderId="0" xfId="1" applyFont="1" applyBorder="1"/>
    <xf numFmtId="3" fontId="35" fillId="0" borderId="0" xfId="0" applyNumberFormat="1" applyFont="1"/>
    <xf numFmtId="0" fontId="37" fillId="0" borderId="0" xfId="0" applyFont="1"/>
    <xf numFmtId="3" fontId="6" fillId="0" borderId="0" xfId="0" applyNumberFormat="1" applyFont="1"/>
    <xf numFmtId="0" fontId="38" fillId="0" borderId="0" xfId="0" applyFont="1"/>
    <xf numFmtId="3" fontId="38" fillId="0" borderId="0" xfId="0" applyNumberFormat="1" applyFont="1"/>
    <xf numFmtId="0" fontId="29" fillId="5" borderId="0" xfId="0" applyFont="1" applyFill="1"/>
    <xf numFmtId="4" fontId="7" fillId="0" borderId="0" xfId="0" applyNumberFormat="1" applyFont="1"/>
    <xf numFmtId="3" fontId="7" fillId="0" borderId="9" xfId="0" applyNumberFormat="1" applyFont="1" applyBorder="1"/>
    <xf numFmtId="0" fontId="7" fillId="0" borderId="0" xfId="0" applyFont="1" applyAlignment="1">
      <alignment horizontal="centerContinuous"/>
    </xf>
    <xf numFmtId="3" fontId="7" fillId="0" borderId="0" xfId="0" applyNumberFormat="1" applyFont="1" applyAlignment="1">
      <alignment horizontal="centerContinuous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4" fontId="6" fillId="0" borderId="0" xfId="0" applyNumberFormat="1" applyFont="1"/>
    <xf numFmtId="49" fontId="13" fillId="5" borderId="0" xfId="0" applyNumberFormat="1" applyFont="1" applyFill="1"/>
    <xf numFmtId="0" fontId="30" fillId="0" borderId="5" xfId="0" applyFont="1" applyBorder="1" applyAlignment="1">
      <alignment wrapText="1"/>
    </xf>
    <xf numFmtId="0" fontId="30" fillId="0" borderId="5" xfId="0" applyFont="1" applyBorder="1" applyAlignment="1">
      <alignment horizontal="justify"/>
    </xf>
    <xf numFmtId="0" fontId="2" fillId="0" borderId="0" xfId="0" applyFont="1" applyAlignment="1">
      <alignment horizontal="left" vertical="top" wrapText="1"/>
    </xf>
    <xf numFmtId="0" fontId="13" fillId="0" borderId="0" xfId="0" applyFont="1" applyAlignment="1">
      <alignment vertical="center"/>
    </xf>
    <xf numFmtId="165" fontId="2" fillId="0" borderId="14" xfId="0" applyNumberFormat="1" applyFont="1" applyBorder="1"/>
    <xf numFmtId="165" fontId="33" fillId="0" borderId="14" xfId="0" applyNumberFormat="1" applyFont="1" applyBorder="1"/>
    <xf numFmtId="0" fontId="7" fillId="0" borderId="0" xfId="0" applyFont="1" applyAlignment="1">
      <alignment vertical="center"/>
    </xf>
    <xf numFmtId="0" fontId="30" fillId="3" borderId="12" xfId="0" applyFont="1" applyFill="1" applyBorder="1" applyAlignment="1">
      <alignment horizontal="center" vertical="center"/>
    </xf>
    <xf numFmtId="165" fontId="31" fillId="3" borderId="12" xfId="0" applyNumberFormat="1" applyFont="1" applyFill="1" applyBorder="1" applyAlignment="1">
      <alignment vertical="center"/>
    </xf>
    <xf numFmtId="0" fontId="30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165" fontId="31" fillId="0" borderId="14" xfId="0" applyNumberFormat="1" applyFont="1" applyBorder="1"/>
    <xf numFmtId="165" fontId="31" fillId="3" borderId="13" xfId="0" applyNumberFormat="1" applyFont="1" applyFill="1" applyBorder="1" applyAlignment="1">
      <alignment vertical="center"/>
    </xf>
    <xf numFmtId="165" fontId="33" fillId="0" borderId="16" xfId="0" applyNumberFormat="1" applyFont="1" applyBorder="1"/>
    <xf numFmtId="165" fontId="32" fillId="0" borderId="14" xfId="0" applyNumberFormat="1" applyFont="1" applyBorder="1"/>
    <xf numFmtId="3" fontId="2" fillId="0" borderId="16" xfId="0" applyNumberFormat="1" applyFont="1" applyBorder="1" applyAlignment="1">
      <alignment vertical="center"/>
    </xf>
    <xf numFmtId="3" fontId="33" fillId="0" borderId="15" xfId="0" applyNumberFormat="1" applyFont="1" applyBorder="1"/>
    <xf numFmtId="0" fontId="30" fillId="6" borderId="12" xfId="0" applyFont="1" applyFill="1" applyBorder="1" applyAlignment="1">
      <alignment horizontal="center" vertical="center"/>
    </xf>
    <xf numFmtId="165" fontId="31" fillId="6" borderId="12" xfId="0" applyNumberFormat="1" applyFont="1" applyFill="1" applyBorder="1" applyAlignment="1">
      <alignment vertical="center"/>
    </xf>
    <xf numFmtId="165" fontId="31" fillId="6" borderId="13" xfId="0" applyNumberFormat="1" applyFont="1" applyFill="1" applyBorder="1" applyAlignment="1">
      <alignment vertical="center"/>
    </xf>
    <xf numFmtId="165" fontId="31" fillId="0" borderId="7" xfId="0" applyNumberFormat="1" applyFont="1" applyBorder="1"/>
    <xf numFmtId="165" fontId="33" fillId="0" borderId="7" xfId="0" applyNumberFormat="1" applyFont="1" applyBorder="1"/>
    <xf numFmtId="165" fontId="2" fillId="0" borderId="7" xfId="0" applyNumberFormat="1" applyFont="1" applyBorder="1"/>
    <xf numFmtId="165" fontId="32" fillId="0" borderId="7" xfId="0" applyNumberFormat="1" applyFont="1" applyBorder="1"/>
    <xf numFmtId="165" fontId="33" fillId="2" borderId="7" xfId="0" applyNumberFormat="1" applyFont="1" applyFill="1" applyBorder="1"/>
    <xf numFmtId="165" fontId="3" fillId="0" borderId="7" xfId="0" applyNumberFormat="1" applyFont="1" applyBorder="1"/>
    <xf numFmtId="165" fontId="31" fillId="0" borderId="22" xfId="0" applyNumberFormat="1" applyFont="1" applyBorder="1"/>
    <xf numFmtId="165" fontId="33" fillId="0" borderId="22" xfId="0" applyNumberFormat="1" applyFont="1" applyBorder="1"/>
    <xf numFmtId="165" fontId="2" fillId="0" borderId="22" xfId="0" applyNumberFormat="1" applyFont="1" applyBorder="1"/>
    <xf numFmtId="165" fontId="32" fillId="0" borderId="22" xfId="0" applyNumberFormat="1" applyFont="1" applyBorder="1"/>
    <xf numFmtId="3" fontId="33" fillId="0" borderId="24" xfId="0" applyNumberFormat="1" applyFont="1" applyBorder="1"/>
    <xf numFmtId="3" fontId="33" fillId="0" borderId="25" xfId="0" applyNumberFormat="1" applyFont="1" applyBorder="1"/>
    <xf numFmtId="165" fontId="31" fillId="0" borderId="1" xfId="0" applyNumberFormat="1" applyFont="1" applyBorder="1"/>
    <xf numFmtId="165" fontId="31" fillId="0" borderId="27" xfId="0" applyNumberFormat="1" applyFont="1" applyBorder="1"/>
    <xf numFmtId="165" fontId="33" fillId="0" borderId="3" xfId="0" applyNumberFormat="1" applyFont="1" applyBorder="1"/>
    <xf numFmtId="165" fontId="2" fillId="0" borderId="32" xfId="0" applyNumberFormat="1" applyFont="1" applyBorder="1"/>
    <xf numFmtId="165" fontId="33" fillId="0" borderId="1" xfId="0" applyNumberFormat="1" applyFont="1" applyBorder="1"/>
    <xf numFmtId="165" fontId="33" fillId="0" borderId="27" xfId="0" applyNumberFormat="1" applyFont="1" applyBorder="1"/>
    <xf numFmtId="165" fontId="39" fillId="7" borderId="29" xfId="0" applyNumberFormat="1" applyFont="1" applyFill="1" applyBorder="1" applyAlignment="1">
      <alignment vertical="center"/>
    </xf>
    <xf numFmtId="165" fontId="39" fillId="7" borderId="30" xfId="0" applyNumberFormat="1" applyFont="1" applyFill="1" applyBorder="1" applyAlignment="1">
      <alignment vertical="center"/>
    </xf>
    <xf numFmtId="165" fontId="33" fillId="0" borderId="32" xfId="0" applyNumberFormat="1" applyFont="1" applyBorder="1"/>
    <xf numFmtId="3" fontId="2" fillId="0" borderId="1" xfId="0" applyNumberFormat="1" applyFont="1" applyBorder="1"/>
    <xf numFmtId="3" fontId="2" fillId="0" borderId="27" xfId="0" applyNumberFormat="1" applyFont="1" applyBorder="1"/>
    <xf numFmtId="165" fontId="31" fillId="6" borderId="29" xfId="0" applyNumberFormat="1" applyFont="1" applyFill="1" applyBorder="1" applyAlignment="1">
      <alignment vertical="center"/>
    </xf>
    <xf numFmtId="165" fontId="31" fillId="6" borderId="30" xfId="0" applyNumberFormat="1" applyFont="1" applyFill="1" applyBorder="1" applyAlignment="1">
      <alignment vertical="center"/>
    </xf>
    <xf numFmtId="165" fontId="31" fillId="0" borderId="33" xfId="0" applyNumberFormat="1" applyFont="1" applyBorder="1"/>
    <xf numFmtId="165" fontId="33" fillId="0" borderId="34" xfId="0" applyNumberFormat="1" applyFont="1" applyBorder="1"/>
    <xf numFmtId="165" fontId="31" fillId="0" borderId="34" xfId="0" applyNumberFormat="1" applyFont="1" applyBorder="1"/>
    <xf numFmtId="165" fontId="33" fillId="2" borderId="34" xfId="0" applyNumberFormat="1" applyFont="1" applyFill="1" applyBorder="1"/>
    <xf numFmtId="165" fontId="33" fillId="0" borderId="35" xfId="0" applyNumberFormat="1" applyFont="1" applyBorder="1"/>
    <xf numFmtId="165" fontId="39" fillId="7" borderId="36" xfId="0" applyNumberFormat="1" applyFont="1" applyFill="1" applyBorder="1" applyAlignment="1">
      <alignment vertical="center"/>
    </xf>
    <xf numFmtId="165" fontId="33" fillId="0" borderId="33" xfId="0" applyNumberFormat="1" applyFont="1" applyBorder="1"/>
    <xf numFmtId="165" fontId="31" fillId="6" borderId="36" xfId="0" applyNumberFormat="1" applyFont="1" applyFill="1" applyBorder="1" applyAlignment="1">
      <alignment vertical="center"/>
    </xf>
    <xf numFmtId="165" fontId="2" fillId="0" borderId="33" xfId="0" applyNumberFormat="1" applyFont="1" applyBorder="1"/>
    <xf numFmtId="165" fontId="33" fillId="0" borderId="37" xfId="0" applyNumberFormat="1" applyFont="1" applyBorder="1"/>
    <xf numFmtId="0" fontId="3" fillId="0" borderId="38" xfId="0" applyFont="1" applyBorder="1"/>
    <xf numFmtId="0" fontId="32" fillId="0" borderId="39" xfId="0" applyFont="1" applyBorder="1"/>
    <xf numFmtId="0" fontId="3" fillId="0" borderId="39" xfId="0" applyFont="1" applyBorder="1"/>
    <xf numFmtId="0" fontId="30" fillId="0" borderId="39" xfId="0" applyFont="1" applyBorder="1"/>
    <xf numFmtId="0" fontId="3" fillId="0" borderId="39" xfId="0" applyFont="1" applyBorder="1" applyAlignment="1">
      <alignment wrapText="1"/>
    </xf>
    <xf numFmtId="3" fontId="32" fillId="0" borderId="39" xfId="0" applyNumberFormat="1" applyFont="1" applyBorder="1"/>
    <xf numFmtId="0" fontId="32" fillId="0" borderId="40" xfId="0" applyFont="1" applyBorder="1"/>
    <xf numFmtId="0" fontId="32" fillId="0" borderId="41" xfId="0" applyFont="1" applyBorder="1"/>
    <xf numFmtId="0" fontId="32" fillId="0" borderId="42" xfId="0" applyFont="1" applyBorder="1"/>
    <xf numFmtId="0" fontId="26" fillId="7" borderId="12" xfId="0" applyFont="1" applyFill="1" applyBorder="1" applyAlignment="1">
      <alignment vertical="center"/>
    </xf>
    <xf numFmtId="0" fontId="30" fillId="0" borderId="42" xfId="0" applyFont="1" applyBorder="1" applyAlignment="1">
      <alignment horizontal="center"/>
    </xf>
    <xf numFmtId="0" fontId="30" fillId="6" borderId="12" xfId="0" applyFont="1" applyFill="1" applyBorder="1" applyAlignment="1">
      <alignment horizontal="left" vertical="center"/>
    </xf>
    <xf numFmtId="165" fontId="13" fillId="0" borderId="7" xfId="0" applyNumberFormat="1" applyFont="1" applyBorder="1"/>
    <xf numFmtId="165" fontId="0" fillId="0" borderId="7" xfId="0" applyNumberFormat="1" applyBorder="1"/>
    <xf numFmtId="165" fontId="17" fillId="0" borderId="7" xfId="0" applyNumberFormat="1" applyFont="1" applyBorder="1"/>
    <xf numFmtId="0" fontId="13" fillId="0" borderId="21" xfId="0" applyFont="1" applyBorder="1"/>
    <xf numFmtId="165" fontId="13" fillId="0" borderId="22" xfId="0" applyNumberFormat="1" applyFont="1" applyBorder="1"/>
    <xf numFmtId="0" fontId="17" fillId="0" borderId="21" xfId="0" applyFont="1" applyBorder="1"/>
    <xf numFmtId="165" fontId="17" fillId="0" borderId="22" xfId="0" applyNumberFormat="1" applyFont="1" applyBorder="1"/>
    <xf numFmtId="0" fontId="17" fillId="0" borderId="21" xfId="0" applyFont="1" applyBorder="1" applyAlignment="1">
      <alignment wrapText="1"/>
    </xf>
    <xf numFmtId="0" fontId="13" fillId="3" borderId="23" xfId="0" applyFont="1" applyFill="1" applyBorder="1"/>
    <xf numFmtId="0" fontId="13" fillId="0" borderId="26" xfId="0" applyFont="1" applyBorder="1"/>
    <xf numFmtId="165" fontId="13" fillId="0" borderId="27" xfId="0" applyNumberFormat="1" applyFont="1" applyBorder="1"/>
    <xf numFmtId="0" fontId="17" fillId="0" borderId="31" xfId="0" applyFont="1" applyBorder="1"/>
    <xf numFmtId="165" fontId="0" fillId="0" borderId="3" xfId="0" applyNumberFormat="1" applyBorder="1"/>
    <xf numFmtId="165" fontId="17" fillId="0" borderId="32" xfId="0" applyNumberFormat="1" applyFont="1" applyBorder="1"/>
    <xf numFmtId="0" fontId="13" fillId="3" borderId="28" xfId="0" applyFont="1" applyFill="1" applyBorder="1"/>
    <xf numFmtId="165" fontId="13" fillId="4" borderId="29" xfId="0" applyNumberFormat="1" applyFont="1" applyFill="1" applyBorder="1"/>
    <xf numFmtId="165" fontId="13" fillId="4" borderId="30" xfId="0" applyNumberFormat="1" applyFont="1" applyFill="1" applyBorder="1"/>
    <xf numFmtId="165" fontId="19" fillId="0" borderId="7" xfId="0" applyNumberFormat="1" applyFont="1" applyBorder="1"/>
    <xf numFmtId="0" fontId="0" fillId="0" borderId="7" xfId="0" applyBorder="1"/>
    <xf numFmtId="165" fontId="0" fillId="0" borderId="22" xfId="0" applyNumberFormat="1" applyBorder="1"/>
    <xf numFmtId="3" fontId="17" fillId="0" borderId="21" xfId="0" applyNumberFormat="1" applyFont="1" applyBorder="1"/>
    <xf numFmtId="165" fontId="25" fillId="0" borderId="22" xfId="0" applyNumberFormat="1" applyFont="1" applyBorder="1"/>
    <xf numFmtId="0" fontId="17" fillId="0" borderId="21" xfId="0" applyFont="1" applyBorder="1" applyAlignment="1">
      <alignment horizontal="left"/>
    </xf>
    <xf numFmtId="0" fontId="0" fillId="0" borderId="22" xfId="0" applyBorder="1"/>
    <xf numFmtId="49" fontId="22" fillId="0" borderId="21" xfId="0" applyNumberFormat="1" applyFont="1" applyBorder="1" applyAlignment="1">
      <alignment horizontal="left" vertical="center" wrapText="1"/>
    </xf>
    <xf numFmtId="0" fontId="0" fillId="0" borderId="21" xfId="0" applyBorder="1"/>
    <xf numFmtId="165" fontId="13" fillId="3" borderId="24" xfId="0" applyNumberFormat="1" applyFont="1" applyFill="1" applyBorder="1"/>
    <xf numFmtId="165" fontId="13" fillId="3" borderId="25" xfId="0" applyNumberFormat="1" applyFont="1" applyFill="1" applyBorder="1"/>
    <xf numFmtId="0" fontId="13" fillId="8" borderId="18" xfId="0" applyFont="1" applyFill="1" applyBorder="1" applyAlignment="1">
      <alignment horizontal="center" vertical="center"/>
    </xf>
    <xf numFmtId="49" fontId="13" fillId="8" borderId="19" xfId="0" applyNumberFormat="1" applyFont="1" applyFill="1" applyBorder="1" applyAlignment="1">
      <alignment horizontal="center" vertical="center"/>
    </xf>
    <xf numFmtId="49" fontId="13" fillId="8" borderId="19" xfId="0" quotePrefix="1" applyNumberFormat="1" applyFont="1" applyFill="1" applyBorder="1" applyAlignment="1">
      <alignment horizontal="center" vertical="center"/>
    </xf>
    <xf numFmtId="49" fontId="13" fillId="8" borderId="20" xfId="0" quotePrefix="1" applyNumberFormat="1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center" vertical="center"/>
    </xf>
    <xf numFmtId="1" fontId="13" fillId="8" borderId="29" xfId="0" quotePrefix="1" applyNumberFormat="1" applyFont="1" applyFill="1" applyBorder="1" applyAlignment="1">
      <alignment horizontal="center" vertical="center"/>
    </xf>
    <xf numFmtId="1" fontId="13" fillId="8" borderId="30" xfId="0" quotePrefix="1" applyNumberFormat="1" applyFont="1" applyFill="1" applyBorder="1" applyAlignment="1">
      <alignment horizontal="center" vertical="center"/>
    </xf>
    <xf numFmtId="1" fontId="13" fillId="8" borderId="30" xfId="0" quotePrefix="1" applyNumberFormat="1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/>
    </xf>
    <xf numFmtId="0" fontId="3" fillId="9" borderId="28" xfId="0" applyFont="1" applyFill="1" applyBorder="1" applyAlignment="1">
      <alignment horizontal="center" vertical="center"/>
    </xf>
    <xf numFmtId="0" fontId="3" fillId="9" borderId="29" xfId="0" applyFont="1" applyFill="1" applyBorder="1" applyAlignment="1">
      <alignment horizontal="center" vertical="center"/>
    </xf>
    <xf numFmtId="0" fontId="3" fillId="9" borderId="29" xfId="0" quotePrefix="1" applyFont="1" applyFill="1" applyBorder="1" applyAlignment="1">
      <alignment horizontal="center" vertical="center"/>
    </xf>
    <xf numFmtId="0" fontId="3" fillId="9" borderId="30" xfId="0" quotePrefix="1" applyFont="1" applyFill="1" applyBorder="1" applyAlignment="1">
      <alignment horizontal="center" vertical="center"/>
    </xf>
    <xf numFmtId="0" fontId="3" fillId="9" borderId="12" xfId="0" quotePrefix="1" applyFont="1" applyFill="1" applyBorder="1" applyAlignment="1">
      <alignment horizontal="center"/>
    </xf>
    <xf numFmtId="0" fontId="3" fillId="9" borderId="13" xfId="0" quotePrefix="1" applyFont="1" applyFill="1" applyBorder="1" applyAlignment="1">
      <alignment horizontal="center"/>
    </xf>
    <xf numFmtId="3" fontId="3" fillId="9" borderId="4" xfId="0" applyNumberFormat="1" applyFont="1" applyFill="1" applyBorder="1" applyAlignment="1">
      <alignment horizontal="center" wrapText="1"/>
    </xf>
    <xf numFmtId="3" fontId="3" fillId="9" borderId="14" xfId="0" applyNumberFormat="1" applyFont="1" applyFill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</cellXfs>
  <cellStyles count="4">
    <cellStyle name="Moneda [0]" xfId="1" builtinId="7"/>
    <cellStyle name="Normal" xfId="0" builtinId="0"/>
    <cellStyle name="Normal 2" xfId="2" xr:uid="{01CA2FAD-7781-4F1E-9CE4-A0014D01BA19}"/>
    <cellStyle name="Normal 3" xfId="3" xr:uid="{AE42A2D1-40C2-4225-9C07-22E85EBC0B7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C592-FB29-48EE-B497-3877C8B35AAC}">
  <sheetPr codeName="Hoja3"/>
  <dimension ref="A2:AZ403"/>
  <sheetViews>
    <sheetView workbookViewId="0"/>
  </sheetViews>
  <sheetFormatPr baseColWidth="10" defaultRowHeight="12" x14ac:dyDescent="0.2"/>
  <cols>
    <col min="1" max="1" width="50.85546875" style="1" customWidth="1"/>
    <col min="2" max="2" width="11.85546875" style="1" customWidth="1"/>
    <col min="3" max="3" width="11.5703125" style="1" customWidth="1"/>
    <col min="4" max="4" width="8.42578125" style="1" customWidth="1"/>
    <col min="5" max="5" width="11.85546875" style="1" customWidth="1"/>
    <col min="6" max="6" width="12.7109375" style="1" customWidth="1"/>
    <col min="7" max="7" width="8.85546875" style="1" customWidth="1"/>
    <col min="8" max="8" width="12" style="1" customWidth="1"/>
    <col min="9" max="9" width="11.140625" style="1" customWidth="1"/>
    <col min="10" max="10" width="8.42578125" style="1" customWidth="1"/>
    <col min="11" max="11" width="12.5703125" style="1" customWidth="1"/>
    <col min="12" max="12" width="11.7109375" style="1" customWidth="1"/>
    <col min="13" max="13" width="7.7109375" style="1" customWidth="1"/>
    <col min="14" max="14" width="11.85546875" style="1" customWidth="1"/>
    <col min="15" max="15" width="11.140625" style="1" customWidth="1"/>
    <col min="16" max="16" width="8.140625" style="1" customWidth="1"/>
    <col min="17" max="17" width="12.42578125" style="1" customWidth="1"/>
    <col min="18" max="18" width="10.85546875" style="1" customWidth="1"/>
    <col min="19" max="19" width="9.140625" style="1" customWidth="1"/>
    <col min="20" max="20" width="13.28515625" style="1" customWidth="1"/>
    <col min="21" max="21" width="10.85546875" style="1" customWidth="1"/>
    <col min="22" max="22" width="8.85546875" style="1" customWidth="1"/>
    <col min="23" max="23" width="12.5703125" style="1" customWidth="1"/>
    <col min="24" max="24" width="10.85546875" style="1" customWidth="1"/>
    <col min="25" max="25" width="8" style="1" customWidth="1"/>
    <col min="26" max="26" width="13.42578125" style="1" customWidth="1"/>
    <col min="27" max="27" width="10.85546875" style="1" customWidth="1"/>
    <col min="28" max="28" width="8.5703125" style="1" customWidth="1"/>
    <col min="29" max="29" width="11.7109375" style="1" customWidth="1"/>
    <col min="30" max="30" width="10.85546875" style="1" customWidth="1"/>
    <col min="31" max="31" width="8" style="1" customWidth="1"/>
    <col min="32" max="32" width="12" style="1" customWidth="1"/>
    <col min="33" max="33" width="13.42578125" style="1" customWidth="1"/>
    <col min="34" max="34" width="7.28515625" style="1" customWidth="1"/>
    <col min="35" max="35" width="11.85546875" style="1" customWidth="1"/>
    <col min="36" max="36" width="11.42578125" style="1"/>
    <col min="37" max="37" width="13.5703125" style="33" customWidth="1"/>
    <col min="38" max="16384" width="11.42578125" style="1"/>
  </cols>
  <sheetData>
    <row r="2" spans="1:52" x14ac:dyDescent="0.2">
      <c r="A2" s="4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52" x14ac:dyDescent="0.2">
      <c r="A3" s="4" t="s">
        <v>19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52" x14ac:dyDescent="0.2">
      <c r="A4" s="4" t="s">
        <v>41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52" x14ac:dyDescent="0.2">
      <c r="A5" s="4"/>
      <c r="B5" s="2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52" x14ac:dyDescent="0.2">
      <c r="A6" s="4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52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52" s="19" customFormat="1" ht="11.25" x14ac:dyDescent="0.2">
      <c r="A8" s="18"/>
      <c r="B8" s="215">
        <v>1992</v>
      </c>
      <c r="C8" s="215"/>
      <c r="D8" s="215"/>
      <c r="E8" s="215">
        <v>1993</v>
      </c>
      <c r="F8" s="215"/>
      <c r="G8" s="215"/>
      <c r="H8" s="215">
        <v>1994</v>
      </c>
      <c r="I8" s="215"/>
      <c r="J8" s="215"/>
      <c r="K8" s="215">
        <v>1995</v>
      </c>
      <c r="L8" s="215"/>
      <c r="M8" s="215"/>
      <c r="N8" s="215">
        <v>1996</v>
      </c>
      <c r="O8" s="215"/>
      <c r="P8" s="215"/>
      <c r="Q8" s="215">
        <v>1997</v>
      </c>
      <c r="R8" s="215"/>
      <c r="S8" s="215"/>
      <c r="T8" s="215">
        <v>1998</v>
      </c>
      <c r="U8" s="215"/>
      <c r="V8" s="215"/>
      <c r="W8" s="215">
        <v>1999</v>
      </c>
      <c r="X8" s="215"/>
      <c r="Y8" s="215"/>
      <c r="Z8" s="215">
        <v>2000</v>
      </c>
      <c r="AA8" s="215"/>
      <c r="AB8" s="215"/>
      <c r="AC8" s="215">
        <v>2001</v>
      </c>
      <c r="AD8" s="215"/>
      <c r="AE8" s="215"/>
      <c r="AF8" s="215">
        <v>2002</v>
      </c>
      <c r="AG8" s="215"/>
      <c r="AH8" s="215"/>
      <c r="AI8" s="215">
        <v>2003</v>
      </c>
      <c r="AJ8" s="215"/>
      <c r="AK8" s="215"/>
      <c r="AL8" s="215">
        <v>2004</v>
      </c>
      <c r="AM8" s="215"/>
      <c r="AN8" s="215"/>
      <c r="AO8" s="215">
        <v>2005</v>
      </c>
      <c r="AP8" s="215"/>
      <c r="AQ8" s="215"/>
      <c r="AR8" s="215">
        <v>2006</v>
      </c>
      <c r="AS8" s="215"/>
      <c r="AT8" s="215"/>
      <c r="AU8" s="215">
        <v>2007</v>
      </c>
      <c r="AV8" s="215"/>
      <c r="AW8" s="215"/>
      <c r="AX8" s="215">
        <v>2008</v>
      </c>
      <c r="AY8" s="215"/>
      <c r="AZ8" s="215"/>
    </row>
    <row r="9" spans="1:52" s="19" customFormat="1" ht="18" customHeight="1" x14ac:dyDescent="0.2">
      <c r="A9" s="20" t="s">
        <v>7</v>
      </c>
      <c r="B9" s="20" t="s">
        <v>4</v>
      </c>
      <c r="C9" s="20" t="s">
        <v>5</v>
      </c>
      <c r="D9" s="20" t="s">
        <v>6</v>
      </c>
      <c r="E9" s="20" t="s">
        <v>4</v>
      </c>
      <c r="F9" s="20" t="s">
        <v>5</v>
      </c>
      <c r="G9" s="20" t="s">
        <v>6</v>
      </c>
      <c r="H9" s="20" t="s">
        <v>4</v>
      </c>
      <c r="I9" s="20" t="s">
        <v>5</v>
      </c>
      <c r="J9" s="20" t="s">
        <v>6</v>
      </c>
      <c r="K9" s="20" t="s">
        <v>4</v>
      </c>
      <c r="L9" s="20" t="s">
        <v>5</v>
      </c>
      <c r="M9" s="20" t="s">
        <v>6</v>
      </c>
      <c r="N9" s="20" t="s">
        <v>4</v>
      </c>
      <c r="O9" s="20" t="s">
        <v>5</v>
      </c>
      <c r="P9" s="20" t="s">
        <v>6</v>
      </c>
      <c r="Q9" s="20" t="s">
        <v>4</v>
      </c>
      <c r="R9" s="20" t="s">
        <v>5</v>
      </c>
      <c r="S9" s="20" t="s">
        <v>6</v>
      </c>
      <c r="T9" s="20" t="s">
        <v>4</v>
      </c>
      <c r="U9" s="20" t="s">
        <v>5</v>
      </c>
      <c r="V9" s="20" t="s">
        <v>6</v>
      </c>
      <c r="W9" s="20" t="s">
        <v>4</v>
      </c>
      <c r="X9" s="20" t="s">
        <v>5</v>
      </c>
      <c r="Y9" s="20" t="s">
        <v>6</v>
      </c>
      <c r="Z9" s="20" t="s">
        <v>4</v>
      </c>
      <c r="AA9" s="20" t="s">
        <v>5</v>
      </c>
      <c r="AB9" s="20" t="s">
        <v>6</v>
      </c>
      <c r="AC9" s="20" t="s">
        <v>4</v>
      </c>
      <c r="AD9" s="20" t="s">
        <v>5</v>
      </c>
      <c r="AE9" s="20" t="s">
        <v>6</v>
      </c>
      <c r="AF9" s="20" t="s">
        <v>4</v>
      </c>
      <c r="AG9" s="20" t="s">
        <v>5</v>
      </c>
      <c r="AH9" s="20" t="s">
        <v>6</v>
      </c>
      <c r="AI9" s="20" t="s">
        <v>4</v>
      </c>
      <c r="AJ9" s="20" t="s">
        <v>5</v>
      </c>
      <c r="AK9" s="20" t="s">
        <v>6</v>
      </c>
      <c r="AL9" s="20" t="s">
        <v>4</v>
      </c>
      <c r="AM9" s="20" t="s">
        <v>5</v>
      </c>
      <c r="AN9" s="20" t="s">
        <v>6</v>
      </c>
      <c r="AO9" s="20" t="s">
        <v>4</v>
      </c>
      <c r="AP9" s="20" t="s">
        <v>5</v>
      </c>
      <c r="AQ9" s="20" t="s">
        <v>6</v>
      </c>
      <c r="AR9" s="20" t="s">
        <v>4</v>
      </c>
      <c r="AS9" s="20" t="s">
        <v>5</v>
      </c>
      <c r="AT9" s="20" t="s">
        <v>6</v>
      </c>
      <c r="AU9" s="20" t="s">
        <v>4</v>
      </c>
      <c r="AV9" s="20" t="s">
        <v>5</v>
      </c>
      <c r="AW9" s="20" t="s">
        <v>6</v>
      </c>
      <c r="AX9" s="20" t="s">
        <v>4</v>
      </c>
      <c r="AY9" s="20" t="s">
        <v>5</v>
      </c>
      <c r="AZ9" s="20" t="s">
        <v>6</v>
      </c>
    </row>
    <row r="10" spans="1:52" s="22" customFormat="1" ht="11.25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</row>
    <row r="11" spans="1:52" s="2" customForma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5"/>
      <c r="AK11" s="34"/>
    </row>
    <row r="12" spans="1:52" s="2" customFormat="1" x14ac:dyDescent="0.2">
      <c r="A12" s="9" t="s">
        <v>8</v>
      </c>
      <c r="B12" s="7">
        <f>+B14+B13</f>
        <v>12601023903.068718</v>
      </c>
      <c r="C12" s="7">
        <f>+C14+C13</f>
        <v>11765335806.974602</v>
      </c>
      <c r="D12" s="6">
        <f>+C12/B12</f>
        <v>0.93368093715855882</v>
      </c>
      <c r="E12" s="7">
        <f>+E14+E13</f>
        <v>15021019429.180384</v>
      </c>
      <c r="F12" s="7">
        <f>+F14+F13</f>
        <v>14180134202.067774</v>
      </c>
      <c r="G12" s="6">
        <f>+F12/E12</f>
        <v>0.94401943016736434</v>
      </c>
      <c r="H12" s="7">
        <f t="shared" ref="H12:AI12" si="0">+H14+H13</f>
        <v>16454230171.907717</v>
      </c>
      <c r="I12" s="7">
        <f t="shared" si="0"/>
        <v>16276783742.189075</v>
      </c>
      <c r="J12" s="6">
        <f>+I12/H12</f>
        <v>0.98921575619978896</v>
      </c>
      <c r="K12" s="7">
        <f t="shared" si="0"/>
        <v>22396960265.280895</v>
      </c>
      <c r="L12" s="7">
        <f t="shared" si="0"/>
        <v>19254622839.127651</v>
      </c>
      <c r="M12" s="6">
        <f>+L12/K12</f>
        <v>0.85969803987086579</v>
      </c>
      <c r="N12" s="7">
        <f t="shared" si="0"/>
        <v>16782965582</v>
      </c>
      <c r="O12" s="7">
        <f t="shared" si="0"/>
        <v>14497065240.24</v>
      </c>
      <c r="P12" s="6">
        <f>+O12/N12</f>
        <v>0.86379639935556651</v>
      </c>
      <c r="Q12" s="7">
        <f t="shared" si="0"/>
        <v>19128747619</v>
      </c>
      <c r="R12" s="7">
        <f t="shared" si="0"/>
        <v>18011057424.309998</v>
      </c>
      <c r="S12" s="6">
        <f>+R12/Q12</f>
        <v>0.94157013219308539</v>
      </c>
      <c r="T12" s="7">
        <f t="shared" si="0"/>
        <v>26701761137</v>
      </c>
      <c r="U12" s="7">
        <f t="shared" si="0"/>
        <v>24610333609.360001</v>
      </c>
      <c r="V12" s="6">
        <f>+U12/T12</f>
        <v>0.92167454734879051</v>
      </c>
      <c r="W12" s="7">
        <f t="shared" si="0"/>
        <v>29445564738</v>
      </c>
      <c r="X12" s="7">
        <f t="shared" si="0"/>
        <v>26198334949.389999</v>
      </c>
      <c r="Y12" s="6">
        <f>+X12/W12</f>
        <v>0.88972092002639036</v>
      </c>
      <c r="Z12" s="7">
        <f t="shared" si="0"/>
        <v>31046000000</v>
      </c>
      <c r="AA12" s="7">
        <f t="shared" si="0"/>
        <v>29627457978.290001</v>
      </c>
      <c r="AB12" s="6">
        <f>+AA12/Z12</f>
        <v>0.95430838041261357</v>
      </c>
      <c r="AC12" s="7">
        <f t="shared" si="0"/>
        <v>23793526208</v>
      </c>
      <c r="AD12" s="7">
        <f t="shared" si="0"/>
        <v>22086887771.139999</v>
      </c>
      <c r="AE12" s="6">
        <f>+AD12/AC12</f>
        <v>0.92827299232821636</v>
      </c>
      <c r="AF12" s="7">
        <f t="shared" si="0"/>
        <v>19479000000</v>
      </c>
      <c r="AG12" s="7">
        <f t="shared" si="0"/>
        <v>18483389709.220001</v>
      </c>
      <c r="AH12" s="6">
        <f>+AG12/AF12</f>
        <v>0.94888801833872383</v>
      </c>
      <c r="AI12" s="7">
        <f t="shared" si="0"/>
        <v>21015648911</v>
      </c>
      <c r="AK12" s="34"/>
    </row>
    <row r="13" spans="1:52" s="2" customFormat="1" x14ac:dyDescent="0.2">
      <c r="A13" s="9" t="s">
        <v>0</v>
      </c>
      <c r="B13" s="9">
        <v>11447679416.792765</v>
      </c>
      <c r="C13" s="9">
        <v>10818360234.690912</v>
      </c>
      <c r="D13" s="14">
        <f>+C13/B13</f>
        <v>0.94502648447870619</v>
      </c>
      <c r="E13" s="9">
        <v>14954069172.245331</v>
      </c>
      <c r="F13" s="9">
        <v>14136465677.385042</v>
      </c>
      <c r="G13" s="14">
        <f>+F13/E13</f>
        <v>0.94532568457167787</v>
      </c>
      <c r="H13" s="9">
        <v>16454230171.907717</v>
      </c>
      <c r="I13" s="9">
        <v>16276783742.189075</v>
      </c>
      <c r="J13" s="14">
        <f>+I13/H13</f>
        <v>0.98921575619978896</v>
      </c>
      <c r="K13" s="9">
        <v>22396960265.280895</v>
      </c>
      <c r="L13" s="9">
        <v>19254622839.127651</v>
      </c>
      <c r="M13" s="14">
        <f>+L13/K13</f>
        <v>0.85969803987086579</v>
      </c>
      <c r="N13" s="9">
        <f>15832965582</f>
        <v>15832965582</v>
      </c>
      <c r="O13" s="9">
        <f>13547065240.24</f>
        <v>13547065240.24</v>
      </c>
      <c r="P13" s="14">
        <f>+O13/N13</f>
        <v>0.85562399350133322</v>
      </c>
      <c r="Q13" s="9">
        <f>18087566059</f>
        <v>18087566059</v>
      </c>
      <c r="R13" s="9">
        <f>16969875864.31</f>
        <v>16969875864.309999</v>
      </c>
      <c r="S13" s="14">
        <f>+R13/Q13</f>
        <v>0.93820671111612275</v>
      </c>
      <c r="T13" s="9">
        <f>24884811137</f>
        <v>24884811137</v>
      </c>
      <c r="U13" s="9">
        <f>22793383609.36</f>
        <v>22793383609.360001</v>
      </c>
      <c r="V13" s="14">
        <f>+U13/T13</f>
        <v>0.91595566001582551</v>
      </c>
      <c r="W13" s="9">
        <f>29445564738</f>
        <v>29445564738</v>
      </c>
      <c r="X13" s="9">
        <f>26198334949.39</f>
        <v>26198334949.389999</v>
      </c>
      <c r="Y13" s="14">
        <f>+X13/W13</f>
        <v>0.88972092002639036</v>
      </c>
      <c r="Z13" s="9">
        <f>31046000000</f>
        <v>31046000000</v>
      </c>
      <c r="AA13" s="9">
        <f>29627457978.29</f>
        <v>29627457978.290001</v>
      </c>
      <c r="AB13" s="14">
        <f>+AA13/Z13</f>
        <v>0.95430838041261357</v>
      </c>
      <c r="AC13" s="9">
        <f>23793526208</f>
        <v>23793526208</v>
      </c>
      <c r="AD13" s="9">
        <f>22086887771.14</f>
        <v>22086887771.139999</v>
      </c>
      <c r="AE13" s="14">
        <f>+AD13/AC13</f>
        <v>0.92827299232821636</v>
      </c>
      <c r="AF13" s="9">
        <f>19479000000</f>
        <v>19479000000</v>
      </c>
      <c r="AG13" s="9">
        <f>18483389709.22</f>
        <v>18483389709.220001</v>
      </c>
      <c r="AH13" s="14">
        <f>+AG13/AF13</f>
        <v>0.94888801833872383</v>
      </c>
      <c r="AI13" s="9">
        <f>21015648911</f>
        <v>21015648911</v>
      </c>
      <c r="AK13" s="34"/>
    </row>
    <row r="14" spans="1:52" s="2" customFormat="1" x14ac:dyDescent="0.2">
      <c r="A14" s="9" t="s">
        <v>23</v>
      </c>
      <c r="B14" s="9">
        <v>1153344486.2759523</v>
      </c>
      <c r="C14" s="9">
        <v>946975572.28368986</v>
      </c>
      <c r="D14" s="14">
        <v>0</v>
      </c>
      <c r="E14" s="9">
        <v>66950256.935052834</v>
      </c>
      <c r="F14" s="9">
        <v>43668524.682730958</v>
      </c>
      <c r="G14" s="14">
        <f>+F14/E14</f>
        <v>0.65225328000000005</v>
      </c>
      <c r="H14" s="9">
        <v>0</v>
      </c>
      <c r="I14" s="9">
        <v>0</v>
      </c>
      <c r="J14" s="14">
        <v>0</v>
      </c>
      <c r="K14" s="9">
        <v>0</v>
      </c>
      <c r="L14" s="9">
        <v>0</v>
      </c>
      <c r="M14" s="14">
        <v>0</v>
      </c>
      <c r="N14" s="9">
        <f>950000000</f>
        <v>950000000</v>
      </c>
      <c r="O14" s="9">
        <f>950000000</f>
        <v>950000000</v>
      </c>
      <c r="P14" s="14">
        <v>0</v>
      </c>
      <c r="Q14" s="9">
        <f>1041181560</f>
        <v>1041181560</v>
      </c>
      <c r="R14" s="9">
        <f>1041181560</f>
        <v>1041181560</v>
      </c>
      <c r="S14" s="14">
        <f>+R14/Q14</f>
        <v>1</v>
      </c>
      <c r="T14" s="9">
        <f>1816950000</f>
        <v>1816950000</v>
      </c>
      <c r="U14" s="9">
        <f>1816950000</f>
        <v>1816950000</v>
      </c>
      <c r="V14" s="14">
        <v>0</v>
      </c>
      <c r="W14" s="9">
        <v>0</v>
      </c>
      <c r="X14" s="9"/>
      <c r="Y14" s="14">
        <v>0</v>
      </c>
      <c r="Z14" s="9">
        <v>0</v>
      </c>
      <c r="AA14" s="9">
        <v>0</v>
      </c>
      <c r="AB14" s="14">
        <v>0</v>
      </c>
      <c r="AC14" s="9">
        <v>0</v>
      </c>
      <c r="AD14" s="9">
        <v>0</v>
      </c>
      <c r="AE14" s="14">
        <v>0</v>
      </c>
      <c r="AF14" s="9">
        <v>0</v>
      </c>
      <c r="AG14" s="9">
        <v>0</v>
      </c>
      <c r="AH14" s="14">
        <v>0</v>
      </c>
      <c r="AI14" s="9">
        <v>0</v>
      </c>
      <c r="AK14" s="34"/>
    </row>
    <row r="15" spans="1:52" s="2" customFormat="1" x14ac:dyDescent="0.2">
      <c r="A15" s="9"/>
      <c r="B15" s="9"/>
      <c r="C15" s="9"/>
      <c r="D15" s="9"/>
      <c r="E15" s="9"/>
      <c r="F15" s="23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7"/>
      <c r="U15" s="7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K15" s="34"/>
    </row>
    <row r="16" spans="1:52" s="2" customFormat="1" x14ac:dyDescent="0.2">
      <c r="A16" s="9" t="s">
        <v>35</v>
      </c>
      <c r="B16" s="7">
        <f>SUM(B17:B18)</f>
        <v>19192559133.378937</v>
      </c>
      <c r="C16" s="7">
        <f>SUM(C17:C18)</f>
        <v>18753131049.504166</v>
      </c>
      <c r="D16" s="6">
        <f>+C16/B16</f>
        <v>0.97710424749399183</v>
      </c>
      <c r="E16" s="7">
        <f>SUM(E17:E18)</f>
        <v>16509110223.512577</v>
      </c>
      <c r="F16" s="7">
        <f>SUM(F17:F18)</f>
        <v>16013413457.202013</v>
      </c>
      <c r="G16" s="6">
        <f>+F16/E16</f>
        <v>0.96997434994379139</v>
      </c>
      <c r="H16" s="7">
        <f>SUM(H17:H18)</f>
        <v>33279340077.190399</v>
      </c>
      <c r="I16" s="7">
        <f>SUM(I17:I18)</f>
        <v>32989653143.356617</v>
      </c>
      <c r="J16" s="6">
        <f>+I16/H16</f>
        <v>0.99129529211931899</v>
      </c>
      <c r="K16" s="7">
        <f>SUM(K17:K18)</f>
        <v>37765337835.956116</v>
      </c>
      <c r="L16" s="7">
        <f>SUM(L17:L18)</f>
        <v>37245447537.542816</v>
      </c>
      <c r="M16" s="6">
        <f>+L16/K16</f>
        <v>0.98623366483118513</v>
      </c>
      <c r="N16" s="7">
        <f>SUM(N17:N18)</f>
        <v>22624283168</v>
      </c>
      <c r="O16" s="7">
        <f>SUM(O17:O18)</f>
        <v>20200041340.900002</v>
      </c>
      <c r="P16" s="6">
        <f>+O16/N16</f>
        <v>0.89284779503958522</v>
      </c>
      <c r="Q16" s="7">
        <f>SUM(Q17:Q18)</f>
        <v>26093792254</v>
      </c>
      <c r="R16" s="7">
        <f>SUM(R17:R18)</f>
        <v>25498328436.380001</v>
      </c>
      <c r="S16" s="6">
        <f>+R16/Q16</f>
        <v>0.97717986669688772</v>
      </c>
      <c r="T16" s="7">
        <f>SUM(T17:T18)</f>
        <v>29159645591</v>
      </c>
      <c r="U16" s="7">
        <f>SUM(U17:U18)</f>
        <v>28996949611.57</v>
      </c>
      <c r="V16" s="6">
        <f>+U16/T16</f>
        <v>0.99442050902428614</v>
      </c>
      <c r="W16" s="7">
        <f>SUM(W17:W18)</f>
        <v>37946886980</v>
      </c>
      <c r="X16" s="7">
        <f>SUM(X17:X18)</f>
        <v>36714771902.330002</v>
      </c>
      <c r="Y16" s="6">
        <f>+X16/W16</f>
        <v>0.96753053608009043</v>
      </c>
      <c r="Z16" s="7">
        <f>SUM(Z17:Z18)</f>
        <v>43880418908</v>
      </c>
      <c r="AA16" s="7">
        <f>SUM(AA17:AA18)</f>
        <v>43472780598.279999</v>
      </c>
      <c r="AB16" s="6">
        <f>+AA16/Z16</f>
        <v>0.99071024571176824</v>
      </c>
      <c r="AC16" s="7">
        <f>SUM(AC17:AC18)</f>
        <v>42798499840</v>
      </c>
      <c r="AD16" s="7">
        <f>SUM(AD17:AD18)</f>
        <v>42314138198.279999</v>
      </c>
      <c r="AE16" s="6">
        <f>+AD16/AC16</f>
        <v>0.98868274253698696</v>
      </c>
      <c r="AF16" s="7">
        <f>SUM(AF17:AF18)</f>
        <v>52095465921</v>
      </c>
      <c r="AG16" s="7">
        <f>SUM(AG17:AG18)</f>
        <v>45925975966.740005</v>
      </c>
      <c r="AH16" s="6">
        <f>+AG16/AF16</f>
        <v>0.88157337984814843</v>
      </c>
      <c r="AI16" s="7">
        <f>SUM(AI17:AI18)</f>
        <v>45234855502</v>
      </c>
      <c r="AK16" s="34"/>
    </row>
    <row r="17" spans="1:37" s="2" customFormat="1" x14ac:dyDescent="0.2">
      <c r="A17" s="9" t="s">
        <v>0</v>
      </c>
      <c r="B17" s="9">
        <v>14375793665.675459</v>
      </c>
      <c r="C17" s="9">
        <v>13951249369.263218</v>
      </c>
      <c r="D17" s="14">
        <f>+C17/B17</f>
        <v>0.97046811422830104</v>
      </c>
      <c r="E17" s="9">
        <v>15806132525.694523</v>
      </c>
      <c r="F17" s="9">
        <v>15444794689.96513</v>
      </c>
      <c r="G17" s="14">
        <f>+F17/E17</f>
        <v>0.97713938971838932</v>
      </c>
      <c r="H17" s="9">
        <v>32545164040.668217</v>
      </c>
      <c r="I17" s="9">
        <v>32386070977.667656</v>
      </c>
      <c r="J17" s="14">
        <f>+I17/H17</f>
        <v>0.99511162202772252</v>
      </c>
      <c r="K17" s="9">
        <v>37079643836.518692</v>
      </c>
      <c r="L17" s="9">
        <v>36592547130.191734</v>
      </c>
      <c r="M17" s="14">
        <f>+L17/K17</f>
        <v>0.98686350094206599</v>
      </c>
      <c r="N17" s="9">
        <f>21100696825</f>
        <v>21100696825</v>
      </c>
      <c r="O17" s="9">
        <f>18982271871.9</f>
        <v>18982271871.900002</v>
      </c>
      <c r="P17" s="14">
        <f>+O17/N17</f>
        <v>0.89960402868828016</v>
      </c>
      <c r="Q17" s="9">
        <f>24268822254</f>
        <v>24268822254</v>
      </c>
      <c r="R17" s="9">
        <f>23684656318.74</f>
        <v>23684656318.740002</v>
      </c>
      <c r="S17" s="14">
        <f>+R17/Q17</f>
        <v>0.97592936611649062</v>
      </c>
      <c r="T17" s="9">
        <f>28633645591</f>
        <v>28633645591</v>
      </c>
      <c r="U17" s="9">
        <f>28473064132.57</f>
        <v>28473064132.57</v>
      </c>
      <c r="V17" s="14">
        <f>+U17/T17</f>
        <v>0.99439186121377177</v>
      </c>
      <c r="W17" s="9">
        <f>35196886980</f>
        <v>35196886980</v>
      </c>
      <c r="X17" s="9">
        <f>33966508321.33</f>
        <v>33966508321.330002</v>
      </c>
      <c r="Y17" s="14">
        <f>+X17/W17</f>
        <v>0.96504296930097433</v>
      </c>
      <c r="Z17" s="9">
        <f>38640418908</f>
        <v>38640418908</v>
      </c>
      <c r="AA17" s="9">
        <f>38235692559.28</f>
        <v>38235692559.279999</v>
      </c>
      <c r="AB17" s="14">
        <f>+AA17/Z17</f>
        <v>0.98952582916651022</v>
      </c>
      <c r="AC17" s="9">
        <f>40170000000</f>
        <v>40170000000</v>
      </c>
      <c r="AD17" s="9">
        <f>39695610441.28</f>
        <v>39695610441.279999</v>
      </c>
      <c r="AE17" s="14">
        <f>+AD17/AC17</f>
        <v>0.98819045161264618</v>
      </c>
      <c r="AF17" s="9">
        <f>45095465921</f>
        <v>45095465921</v>
      </c>
      <c r="AG17" s="9">
        <f>41134585199.55</f>
        <v>41134585199.550003</v>
      </c>
      <c r="AH17" s="14">
        <f>+AG17/AF17</f>
        <v>0.91216676354139858</v>
      </c>
      <c r="AI17" s="9">
        <f>43944855502</f>
        <v>43944855502</v>
      </c>
      <c r="AK17" s="34"/>
    </row>
    <row r="18" spans="1:37" s="2" customFormat="1" x14ac:dyDescent="0.2">
      <c r="A18" s="9" t="s">
        <v>23</v>
      </c>
      <c r="B18" s="9">
        <v>4816765467.7034779</v>
      </c>
      <c r="C18" s="9">
        <v>4801881680.2409496</v>
      </c>
      <c r="D18" s="14">
        <f>+C18/B18</f>
        <v>0.99691000370220961</v>
      </c>
      <c r="E18" s="9">
        <v>702977697.8180548</v>
      </c>
      <c r="F18" s="9">
        <v>568618767.23688293</v>
      </c>
      <c r="G18" s="14">
        <f>+F18/E18</f>
        <v>0.80887170247619045</v>
      </c>
      <c r="H18" s="9">
        <v>734176036.52218235</v>
      </c>
      <c r="I18" s="9">
        <v>603582165.68896282</v>
      </c>
      <c r="J18" s="14">
        <f>+I18/H18</f>
        <v>0.82212185588098563</v>
      </c>
      <c r="K18" s="9">
        <v>685693999.43742275</v>
      </c>
      <c r="L18" s="9">
        <v>652900407.35108161</v>
      </c>
      <c r="M18" s="14">
        <f>+L18/K18</f>
        <v>0.95217459666666671</v>
      </c>
      <c r="N18" s="9">
        <f>1523586343</f>
        <v>1523586343</v>
      </c>
      <c r="O18" s="9">
        <f>1217769469</f>
        <v>1217769469</v>
      </c>
      <c r="P18" s="14">
        <f>+O18/N18</f>
        <v>0.79927827825114606</v>
      </c>
      <c r="Q18" s="9">
        <f>1824970000</f>
        <v>1824970000</v>
      </c>
      <c r="R18" s="9">
        <f>1813672117.64</f>
        <v>1813672117.6400001</v>
      </c>
      <c r="S18" s="14">
        <f>+R18/Q18</f>
        <v>0.99380927776347017</v>
      </c>
      <c r="T18" s="9">
        <f>526000000</f>
        <v>526000000</v>
      </c>
      <c r="U18" s="9">
        <f>523885479</f>
        <v>523885479</v>
      </c>
      <c r="V18" s="14">
        <f>+U18/T18</f>
        <v>0.99597999809885929</v>
      </c>
      <c r="W18" s="9">
        <f>2750000000</f>
        <v>2750000000</v>
      </c>
      <c r="X18" s="9">
        <f>2748263581</f>
        <v>2748263581</v>
      </c>
      <c r="Y18" s="14">
        <f>+X18/W18</f>
        <v>0.99936857490909092</v>
      </c>
      <c r="Z18" s="9">
        <f>5240000000</f>
        <v>5240000000</v>
      </c>
      <c r="AA18" s="9">
        <f>5237088039</f>
        <v>5237088039</v>
      </c>
      <c r="AB18" s="14">
        <f>+AA18/Z18</f>
        <v>0.9994442822519084</v>
      </c>
      <c r="AC18" s="9">
        <f>2628499840</f>
        <v>2628499840</v>
      </c>
      <c r="AD18" s="9">
        <f>2618527757</f>
        <v>2618527757</v>
      </c>
      <c r="AE18" s="14">
        <f>+AD18/AC18</f>
        <v>0.99620616944758877</v>
      </c>
      <c r="AF18" s="9">
        <f>7000000000</f>
        <v>7000000000</v>
      </c>
      <c r="AG18" s="9">
        <f>4791390767.19</f>
        <v>4791390767.1899996</v>
      </c>
      <c r="AH18" s="14">
        <f>+AG18/AF18</f>
        <v>0.6844843953128571</v>
      </c>
      <c r="AI18" s="9">
        <f>1290000000</f>
        <v>1290000000</v>
      </c>
      <c r="AK18" s="34"/>
    </row>
    <row r="19" spans="1:37" s="2" customFormat="1" x14ac:dyDescent="0.2">
      <c r="A19" s="9"/>
      <c r="B19" s="9"/>
      <c r="C19" s="9"/>
      <c r="D19" s="9"/>
      <c r="E19" s="9"/>
      <c r="F19" s="9"/>
      <c r="G19" s="9"/>
      <c r="H19" s="9"/>
      <c r="I19" s="7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K19" s="34"/>
    </row>
    <row r="20" spans="1:37" s="2" customFormat="1" x14ac:dyDescent="0.2">
      <c r="A20" s="9" t="s">
        <v>32</v>
      </c>
      <c r="B20" s="7">
        <f>SUM(B21:B22)</f>
        <v>18408902422.751755</v>
      </c>
      <c r="C20" s="7">
        <f>SUM(C21:C22)</f>
        <v>18361188800.232273</v>
      </c>
      <c r="D20" s="6">
        <f>+C20/B20</f>
        <v>0.99740812236255261</v>
      </c>
      <c r="E20" s="7">
        <f>SUM(E21:E22)</f>
        <v>18713478903.067463</v>
      </c>
      <c r="F20" s="7">
        <f>SUM(F21:F22)</f>
        <v>17680148181.784683</v>
      </c>
      <c r="G20" s="6">
        <f>+F20/E20</f>
        <v>0.94478147400409873</v>
      </c>
      <c r="H20" s="7">
        <f>SUM(H21:H22)</f>
        <v>0</v>
      </c>
      <c r="I20" s="7">
        <f>SUM(I21:I22)</f>
        <v>0</v>
      </c>
      <c r="J20" s="6">
        <v>0</v>
      </c>
      <c r="K20" s="7">
        <f>SUM(K21:K22)</f>
        <v>0</v>
      </c>
      <c r="L20" s="7">
        <f>SUM(L21:L22)</f>
        <v>0</v>
      </c>
      <c r="M20" s="6">
        <v>0</v>
      </c>
      <c r="N20" s="7">
        <f>SUM(N21:N22)</f>
        <v>0</v>
      </c>
      <c r="O20" s="7">
        <f>SUM(O21:O22)</f>
        <v>0</v>
      </c>
      <c r="P20" s="6">
        <v>0</v>
      </c>
      <c r="Q20" s="7">
        <f>SUM(Q21:Q22)</f>
        <v>0</v>
      </c>
      <c r="R20" s="7">
        <f>SUM(R21:R22)</f>
        <v>0</v>
      </c>
      <c r="S20" s="6">
        <v>0</v>
      </c>
      <c r="T20" s="7">
        <f>SUM(T21:T22)</f>
        <v>0</v>
      </c>
      <c r="U20" s="7">
        <f>SUM(U21:U22)</f>
        <v>0</v>
      </c>
      <c r="V20" s="6">
        <v>0</v>
      </c>
      <c r="W20" s="7">
        <f>SUM(W21:W22)</f>
        <v>0</v>
      </c>
      <c r="X20" s="7">
        <f>SUM(X21:X22)</f>
        <v>0</v>
      </c>
      <c r="Y20" s="6">
        <v>0</v>
      </c>
      <c r="Z20" s="7">
        <f>SUM(Z21:Z22)</f>
        <v>0</v>
      </c>
      <c r="AA20" s="7">
        <f>SUM(AA21:AA22)</f>
        <v>0</v>
      </c>
      <c r="AB20" s="6">
        <v>0</v>
      </c>
      <c r="AC20" s="7">
        <f>SUM(AC21:AC22)</f>
        <v>0</v>
      </c>
      <c r="AD20" s="7">
        <v>0</v>
      </c>
      <c r="AE20" s="6">
        <v>0</v>
      </c>
      <c r="AF20" s="7">
        <f>SUM(AF21:AF22)</f>
        <v>0</v>
      </c>
      <c r="AG20" s="7">
        <f>SUM(AG21:AG22)</f>
        <v>0</v>
      </c>
      <c r="AH20" s="6">
        <v>0</v>
      </c>
      <c r="AI20" s="7">
        <f>SUM(AI21:AI22)</f>
        <v>0</v>
      </c>
      <c r="AK20" s="34"/>
    </row>
    <row r="21" spans="1:37" s="2" customFormat="1" x14ac:dyDescent="0.2">
      <c r="A21" s="9" t="s">
        <v>0</v>
      </c>
      <c r="B21" s="9">
        <v>17054030483.53577</v>
      </c>
      <c r="C21" s="9">
        <v>17054030483.53577</v>
      </c>
      <c r="D21" s="14">
        <f>+C21/B21</f>
        <v>1</v>
      </c>
      <c r="E21" s="9">
        <v>18631130087.03735</v>
      </c>
      <c r="F21" s="9">
        <v>17622914109.408138</v>
      </c>
      <c r="G21" s="14">
        <f>+F21/E21</f>
        <v>0.94588540937027321</v>
      </c>
      <c r="H21" s="9">
        <v>0</v>
      </c>
      <c r="I21" s="9">
        <v>0</v>
      </c>
      <c r="J21" s="14">
        <v>0</v>
      </c>
      <c r="K21" s="9">
        <v>0</v>
      </c>
      <c r="L21" s="9">
        <v>0</v>
      </c>
      <c r="M21" s="14">
        <v>0</v>
      </c>
      <c r="N21" s="9">
        <v>0</v>
      </c>
      <c r="O21" s="9">
        <v>0</v>
      </c>
      <c r="P21" s="14">
        <v>0</v>
      </c>
      <c r="Q21" s="9">
        <v>0</v>
      </c>
      <c r="R21" s="9">
        <v>0</v>
      </c>
      <c r="S21" s="14">
        <v>0</v>
      </c>
      <c r="T21" s="9">
        <v>0</v>
      </c>
      <c r="U21" s="9">
        <v>0</v>
      </c>
      <c r="V21" s="14">
        <v>0</v>
      </c>
      <c r="W21" s="9">
        <v>0</v>
      </c>
      <c r="X21" s="9">
        <v>0</v>
      </c>
      <c r="Y21" s="14">
        <v>0</v>
      </c>
      <c r="Z21" s="9">
        <v>0</v>
      </c>
      <c r="AA21" s="9">
        <v>0</v>
      </c>
      <c r="AB21" s="14">
        <v>0</v>
      </c>
      <c r="AC21" s="9">
        <v>0</v>
      </c>
      <c r="AD21" s="9">
        <v>0</v>
      </c>
      <c r="AE21" s="14">
        <v>0</v>
      </c>
      <c r="AF21" s="9">
        <v>0</v>
      </c>
      <c r="AG21" s="9">
        <v>0</v>
      </c>
      <c r="AH21" s="14">
        <v>0</v>
      </c>
      <c r="AI21" s="9">
        <v>0</v>
      </c>
      <c r="AK21" s="34"/>
    </row>
    <row r="22" spans="1:37" s="2" customFormat="1" x14ac:dyDescent="0.2">
      <c r="A22" s="9" t="s">
        <v>23</v>
      </c>
      <c r="B22" s="9">
        <v>1354871939.2159853</v>
      </c>
      <c r="C22" s="9">
        <v>1307158316.6965039</v>
      </c>
      <c r="D22" s="14">
        <f>+C22/B22</f>
        <v>0.96478366616176914</v>
      </c>
      <c r="E22" s="9">
        <v>82348816.030114993</v>
      </c>
      <c r="F22" s="9">
        <v>57234072.376543842</v>
      </c>
      <c r="G22" s="14">
        <f>+F22/E22</f>
        <v>0.69501997886178857</v>
      </c>
      <c r="H22" s="9">
        <v>0</v>
      </c>
      <c r="I22" s="9">
        <v>0</v>
      </c>
      <c r="J22" s="14">
        <v>0</v>
      </c>
      <c r="K22" s="9">
        <v>0</v>
      </c>
      <c r="L22" s="9">
        <v>0</v>
      </c>
      <c r="M22" s="14">
        <v>0</v>
      </c>
      <c r="N22" s="9">
        <v>0</v>
      </c>
      <c r="O22" s="9">
        <v>0</v>
      </c>
      <c r="P22" s="14">
        <v>0</v>
      </c>
      <c r="Q22" s="9">
        <v>0</v>
      </c>
      <c r="R22" s="9">
        <v>0</v>
      </c>
      <c r="S22" s="14">
        <v>0</v>
      </c>
      <c r="T22" s="9">
        <v>0</v>
      </c>
      <c r="U22" s="9">
        <v>0</v>
      </c>
      <c r="V22" s="14">
        <v>0</v>
      </c>
      <c r="W22" s="9">
        <v>0</v>
      </c>
      <c r="X22" s="9">
        <v>0</v>
      </c>
      <c r="Y22" s="14">
        <v>0</v>
      </c>
      <c r="Z22" s="9">
        <v>0</v>
      </c>
      <c r="AA22" s="9">
        <v>0</v>
      </c>
      <c r="AB22" s="14">
        <v>0</v>
      </c>
      <c r="AC22" s="9">
        <v>0</v>
      </c>
      <c r="AD22" s="9">
        <v>0</v>
      </c>
      <c r="AE22" s="14">
        <v>0</v>
      </c>
      <c r="AF22" s="9">
        <v>0</v>
      </c>
      <c r="AG22" s="9">
        <v>0</v>
      </c>
      <c r="AH22" s="14">
        <v>0</v>
      </c>
      <c r="AI22" s="9">
        <v>0</v>
      </c>
      <c r="AK22" s="34"/>
    </row>
    <row r="23" spans="1:37" s="2" customForma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K23" s="34"/>
    </row>
    <row r="24" spans="1:37" s="2" customFormat="1" x14ac:dyDescent="0.2">
      <c r="A24" s="9" t="s">
        <v>9</v>
      </c>
      <c r="B24" s="7">
        <f>SUM(B25:B26)</f>
        <v>8724540759.6743355</v>
      </c>
      <c r="C24" s="7">
        <f>SUM(C25:C26)</f>
        <v>7697896189.1187077</v>
      </c>
      <c r="D24" s="6">
        <f>+C24/B24</f>
        <v>0.88232680678152398</v>
      </c>
      <c r="E24" s="7">
        <f>SUM(E25:E26)</f>
        <v>13433654693.43951</v>
      </c>
      <c r="F24" s="7">
        <f>SUM(F25:F26)</f>
        <v>12983114843.694704</v>
      </c>
      <c r="G24" s="6">
        <f>+F24/E24</f>
        <v>0.96646185568810006</v>
      </c>
      <c r="H24" s="7">
        <f>SUM(H25:H26)</f>
        <v>18533353738.175995</v>
      </c>
      <c r="I24" s="7">
        <f>SUM(I25:I26)</f>
        <v>17331876656.800056</v>
      </c>
      <c r="J24" s="6">
        <f>+I24/H24</f>
        <v>0.93517217129994823</v>
      </c>
      <c r="K24" s="7">
        <f>SUM(K25:K26)</f>
        <v>28420058327.750008</v>
      </c>
      <c r="L24" s="7">
        <f>SUM(L25:L26)</f>
        <v>26434268818.464527</v>
      </c>
      <c r="M24" s="6">
        <f>+L24/K24</f>
        <v>0.93012718389298632</v>
      </c>
      <c r="N24" s="7">
        <f>SUM(N25:N26)</f>
        <v>19545150116</v>
      </c>
      <c r="O24" s="7">
        <f>SUM(O25:O26)</f>
        <v>17577287492.09</v>
      </c>
      <c r="P24" s="6">
        <f>+O24/N24</f>
        <v>0.89931708826840506</v>
      </c>
      <c r="Q24" s="7">
        <f>SUM(Q25:Q26)</f>
        <v>28577817693</v>
      </c>
      <c r="R24" s="7">
        <f>SUM(R25:R26)</f>
        <v>27249180273.540001</v>
      </c>
      <c r="S24" s="6">
        <f>+R24/Q24</f>
        <v>0.95350808680589205</v>
      </c>
      <c r="T24" s="7">
        <f>SUM(T25:T26)</f>
        <v>41431903245</v>
      </c>
      <c r="U24" s="7">
        <f>SUM(U25:U26)</f>
        <v>36059926348.209999</v>
      </c>
      <c r="V24" s="6">
        <f>+U24/T24</f>
        <v>0.87034201965032121</v>
      </c>
      <c r="W24" s="7">
        <f>SUM(W25:W26)</f>
        <v>45500231113</v>
      </c>
      <c r="X24" s="7">
        <f>SUM(X25:X26)</f>
        <v>43265795954.690002</v>
      </c>
      <c r="Y24" s="6">
        <f>+X24/W24</f>
        <v>0.95089178442279187</v>
      </c>
      <c r="Z24" s="7">
        <f>SUM(Z25:Z26)</f>
        <v>38291000000</v>
      </c>
      <c r="AA24" s="7">
        <f>SUM(AA25:AA26)</f>
        <v>36729024178.040001</v>
      </c>
      <c r="AB24" s="6">
        <f>+AA24/Z24</f>
        <v>0.9592077558183385</v>
      </c>
      <c r="AC24" s="7">
        <f>SUM(AC25:AC26)</f>
        <v>49788080000</v>
      </c>
      <c r="AD24" s="7">
        <f>SUM(AD25:AD26)</f>
        <v>47769844112.010002</v>
      </c>
      <c r="AE24" s="6">
        <f>+AD24/AC24</f>
        <v>0.95946347222086092</v>
      </c>
      <c r="AF24" s="7">
        <f>SUM(AF25:AF26)</f>
        <v>44037056639</v>
      </c>
      <c r="AG24" s="7">
        <f>SUM(AG25:AG26)</f>
        <v>41467306117.75</v>
      </c>
      <c r="AH24" s="6">
        <f>+AG24/AF24</f>
        <v>0.94164572481953335</v>
      </c>
      <c r="AI24" s="7">
        <f>SUM(AI25:AI26)</f>
        <v>47478254806</v>
      </c>
      <c r="AK24" s="34"/>
    </row>
    <row r="25" spans="1:37" s="2" customFormat="1" x14ac:dyDescent="0.2">
      <c r="A25" s="9" t="s">
        <v>0</v>
      </c>
      <c r="B25" s="9">
        <v>7376133295.7817831</v>
      </c>
      <c r="C25" s="9">
        <v>6623067962.1137505</v>
      </c>
      <c r="D25" s="14">
        <f>+C25/B25</f>
        <v>0.89790513491686885</v>
      </c>
      <c r="E25" s="9">
        <v>9291576197.3816605</v>
      </c>
      <c r="F25" s="9">
        <v>8923832859.9681454</v>
      </c>
      <c r="G25" s="14">
        <f>+F25/E25</f>
        <v>0.96042185635660571</v>
      </c>
      <c r="H25" s="9">
        <v>11375868486.254978</v>
      </c>
      <c r="I25" s="9">
        <v>10663554156.68058</v>
      </c>
      <c r="J25" s="14">
        <f>+I25/H25</f>
        <v>0.93738374081635523</v>
      </c>
      <c r="K25" s="9">
        <v>13909344770.488647</v>
      </c>
      <c r="L25" s="9">
        <v>12370271843.640118</v>
      </c>
      <c r="M25" s="14">
        <f>+L25/K25</f>
        <v>0.88934971760035963</v>
      </c>
      <c r="N25" s="9">
        <f>(7732702643+500730006)</f>
        <v>8233432649</v>
      </c>
      <c r="O25" s="9">
        <f>(6679387959.64+265949803.99)</f>
        <v>6945337763.6300001</v>
      </c>
      <c r="P25" s="14">
        <f>+O25/N25</f>
        <v>0.84355311565869839</v>
      </c>
      <c r="Q25" s="9">
        <f>13837589793</f>
        <v>13837589793</v>
      </c>
      <c r="R25" s="9">
        <f>13164270989.67</f>
        <v>13164270989.67</v>
      </c>
      <c r="S25" s="14">
        <f>+R25/Q25</f>
        <v>0.95134132364072455</v>
      </c>
      <c r="T25" s="9">
        <f>23106587819</f>
        <v>23106587819</v>
      </c>
      <c r="U25" s="9">
        <f>19231014743.21</f>
        <v>19231014743.209999</v>
      </c>
      <c r="V25" s="14">
        <f>+U25/T25</f>
        <v>0.8322741070144849</v>
      </c>
      <c r="W25" s="9">
        <f>26697659539</f>
        <v>26697659539</v>
      </c>
      <c r="X25" s="9">
        <f>25183152283.68</f>
        <v>25183152283.68</v>
      </c>
      <c r="Y25" s="14">
        <f>+X25/W25</f>
        <v>0.94327190916838222</v>
      </c>
      <c r="Z25" s="9">
        <f>23489000000</f>
        <v>23489000000</v>
      </c>
      <c r="AA25" s="9">
        <f>22347318008.19</f>
        <v>22347318008.189999</v>
      </c>
      <c r="AB25" s="14">
        <f>+AA25/Z25</f>
        <v>0.95139503632295963</v>
      </c>
      <c r="AC25" s="9">
        <f>23235280000</f>
        <v>23235280000</v>
      </c>
      <c r="AD25" s="9">
        <f>21463188615.08</f>
        <v>21463188615.080002</v>
      </c>
      <c r="AE25" s="14">
        <f>+AD25/AC25</f>
        <v>0.92373272949927876</v>
      </c>
      <c r="AF25" s="9">
        <v>23519330652</v>
      </c>
      <c r="AG25" s="9">
        <v>20978753512.939999</v>
      </c>
      <c r="AH25" s="14">
        <f>+AG25/AF25</f>
        <v>0.89197919036679896</v>
      </c>
      <c r="AI25" s="9">
        <f>20858589326</f>
        <v>20858589326</v>
      </c>
      <c r="AK25" s="34"/>
    </row>
    <row r="26" spans="1:37" s="2" customFormat="1" x14ac:dyDescent="0.2">
      <c r="A26" s="9" t="s">
        <v>23</v>
      </c>
      <c r="B26" s="9">
        <v>1348407463.8925526</v>
      </c>
      <c r="C26" s="9">
        <v>1074828227.0049574</v>
      </c>
      <c r="D26" s="14">
        <f>+C26/B26</f>
        <v>0.79710937219389699</v>
      </c>
      <c r="E26" s="9">
        <v>4142078496.0578489</v>
      </c>
      <c r="F26" s="9">
        <v>4059281983.7265592</v>
      </c>
      <c r="G26" s="14">
        <f>+F26/E26</f>
        <v>0.98001087801448239</v>
      </c>
      <c r="H26" s="9">
        <v>7157485251.9210167</v>
      </c>
      <c r="I26" s="9">
        <v>6668322500.1194744</v>
      </c>
      <c r="J26" s="14">
        <f>+I26/H26</f>
        <v>0.93165717642655921</v>
      </c>
      <c r="K26" s="9">
        <v>14510713557.26136</v>
      </c>
      <c r="L26" s="9">
        <v>14063996974.824409</v>
      </c>
      <c r="M26" s="14">
        <f>+L26/K26</f>
        <v>0.96921470603949678</v>
      </c>
      <c r="N26" s="9">
        <f>(11048337467+263380000)</f>
        <v>11311717467</v>
      </c>
      <c r="O26" s="9">
        <f>(10580917796.46+51031932)</f>
        <v>10631949728.459999</v>
      </c>
      <c r="P26" s="14">
        <f>+O26/N26</f>
        <v>0.9399058772000709</v>
      </c>
      <c r="Q26" s="9">
        <f>14740227900</f>
        <v>14740227900</v>
      </c>
      <c r="R26" s="9">
        <f>14084909283.87</f>
        <v>14084909283.870001</v>
      </c>
      <c r="S26" s="14">
        <f>+R26/Q26</f>
        <v>0.95554216525173274</v>
      </c>
      <c r="T26" s="9">
        <f>18325315426</f>
        <v>18325315426</v>
      </c>
      <c r="U26" s="9">
        <f>16828911605</f>
        <v>16828911605</v>
      </c>
      <c r="V26" s="14">
        <f>+U26/T26</f>
        <v>0.91834226117183781</v>
      </c>
      <c r="W26" s="9">
        <f>18802571574</f>
        <v>18802571574</v>
      </c>
      <c r="X26" s="9">
        <f>18082643671.01</f>
        <v>18082643671.009998</v>
      </c>
      <c r="Y26" s="14">
        <f>+X26/W26</f>
        <v>0.96171119997301269</v>
      </c>
      <c r="Z26" s="9">
        <f>14802000000</f>
        <v>14802000000</v>
      </c>
      <c r="AA26" s="9">
        <f>14381706169.85</f>
        <v>14381706169.85</v>
      </c>
      <c r="AB26" s="14">
        <f>+AA26/Z26</f>
        <v>0.97160560531347118</v>
      </c>
      <c r="AC26" s="9">
        <f>26552800000</f>
        <v>26552800000</v>
      </c>
      <c r="AD26" s="9">
        <f>26306655496.93</f>
        <v>26306655496.93</v>
      </c>
      <c r="AE26" s="14">
        <f>+AD26/AC26</f>
        <v>0.99072999822730556</v>
      </c>
      <c r="AF26" s="9">
        <v>20517725987</v>
      </c>
      <c r="AG26" s="9">
        <v>20488552604.810001</v>
      </c>
      <c r="AH26" s="14">
        <f>+AG26/AF26</f>
        <v>0.99857813764505465</v>
      </c>
      <c r="AI26" s="9">
        <f>26619665480</f>
        <v>26619665480</v>
      </c>
      <c r="AK26" s="34"/>
    </row>
    <row r="27" spans="1:37" s="2" customForma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K27" s="34"/>
    </row>
    <row r="28" spans="1:37" s="2" customFormat="1" x14ac:dyDescent="0.2">
      <c r="A28" s="9" t="s">
        <v>24</v>
      </c>
      <c r="B28" s="7">
        <f>SUM(B29:B30)</f>
        <v>0</v>
      </c>
      <c r="C28" s="7">
        <f>SUM(C29:C30)</f>
        <v>0</v>
      </c>
      <c r="D28" s="6">
        <v>0</v>
      </c>
      <c r="E28" s="7">
        <f>SUM(E29:E30)</f>
        <v>0</v>
      </c>
      <c r="F28" s="7">
        <f>SUM(F29:F30)</f>
        <v>0</v>
      </c>
      <c r="G28" s="6">
        <v>0</v>
      </c>
      <c r="H28" s="7">
        <f>SUM(H29:H30)</f>
        <v>52346239.426321335</v>
      </c>
      <c r="I28" s="7">
        <f>SUM(I29:I30)</f>
        <v>0</v>
      </c>
      <c r="J28" s="6">
        <f>+I28/H28</f>
        <v>0</v>
      </c>
      <c r="K28" s="7">
        <f>SUM(K29:K30)</f>
        <v>11810354421.179016</v>
      </c>
      <c r="L28" s="7">
        <f>SUM(L29:L30)</f>
        <v>11302940266.892918</v>
      </c>
      <c r="M28" s="6">
        <f>+L28/K28</f>
        <v>0.95703650066790769</v>
      </c>
      <c r="N28" s="7">
        <f>SUM(N29:N30)</f>
        <v>11665494593</v>
      </c>
      <c r="O28" s="7">
        <f>SUM(O29:O30)</f>
        <v>8890891320.960001</v>
      </c>
      <c r="P28" s="6">
        <f>+O28/N28</f>
        <v>0.76215296746141148</v>
      </c>
      <c r="Q28" s="7">
        <f>SUM(Q29:Q30)</f>
        <v>5439736544</v>
      </c>
      <c r="R28" s="7">
        <f>SUM(R29:R30)</f>
        <v>4519779819.6000004</v>
      </c>
      <c r="S28" s="6">
        <f>+R28/Q28</f>
        <v>0.83088211773514897</v>
      </c>
      <c r="T28" s="7">
        <f>SUM(T29:T30)</f>
        <v>20015033000</v>
      </c>
      <c r="U28" s="7">
        <f>SUM(U29:U30)</f>
        <v>19748283551.66</v>
      </c>
      <c r="V28" s="6">
        <f>+U28/T28</f>
        <v>0.98667254516442715</v>
      </c>
      <c r="W28" s="7">
        <f>SUM(W29:W30)</f>
        <v>34749368000</v>
      </c>
      <c r="X28" s="7">
        <f>SUM(X29:X30)</f>
        <v>33182188277.579998</v>
      </c>
      <c r="Y28" s="6">
        <f>+X28/W28</f>
        <v>0.95490048272475048</v>
      </c>
      <c r="Z28" s="7">
        <f>SUM(Z29:Z30)</f>
        <v>24497042512</v>
      </c>
      <c r="AA28" s="7">
        <f>SUM(AA29:AA30)</f>
        <v>23582213212.59</v>
      </c>
      <c r="AB28" s="6">
        <f>+AA28/Z28</f>
        <v>0.96265552060164539</v>
      </c>
      <c r="AC28" s="7">
        <f>SUM(AC29:AC30)</f>
        <v>0</v>
      </c>
      <c r="AD28" s="7">
        <f>SUM(AD29:AD30)</f>
        <v>0</v>
      </c>
      <c r="AE28" s="6" t="e">
        <f>+AD28/AC28</f>
        <v>#DIV/0!</v>
      </c>
      <c r="AF28" s="7">
        <f>SUM(AF29:AF30)</f>
        <v>12205217078</v>
      </c>
      <c r="AG28" s="7">
        <f>SUM(AG29:AG30)</f>
        <v>12017156809.98</v>
      </c>
      <c r="AH28" s="6">
        <f>+AG28/AF28</f>
        <v>0.98459181292572173</v>
      </c>
      <c r="AI28" s="7">
        <f>SUM(AI29:AI30)</f>
        <v>8441841078</v>
      </c>
      <c r="AK28" s="34"/>
    </row>
    <row r="29" spans="1:37" s="2" customFormat="1" x14ac:dyDescent="0.2">
      <c r="A29" s="9" t="s">
        <v>0</v>
      </c>
      <c r="B29" s="9">
        <v>0</v>
      </c>
      <c r="C29" s="9">
        <v>0</v>
      </c>
      <c r="D29" s="14">
        <v>0</v>
      </c>
      <c r="E29" s="9">
        <v>0</v>
      </c>
      <c r="F29" s="9">
        <v>0</v>
      </c>
      <c r="G29" s="14">
        <v>0</v>
      </c>
      <c r="H29" s="9">
        <v>52346239.426321335</v>
      </c>
      <c r="I29" s="9">
        <v>0</v>
      </c>
      <c r="J29" s="14">
        <f>+I29/H29</f>
        <v>0</v>
      </c>
      <c r="K29" s="9">
        <v>2523772022.1315193</v>
      </c>
      <c r="L29" s="9">
        <v>2254846269.8048453</v>
      </c>
      <c r="M29" s="14">
        <f>+L29/K29</f>
        <v>0.89344292988098606</v>
      </c>
      <c r="N29" s="9">
        <f>1808585999</f>
        <v>1808585999</v>
      </c>
      <c r="O29" s="9">
        <f>1131581887.69</f>
        <v>1131581887.6900001</v>
      </c>
      <c r="P29" s="14">
        <f>+O29/N29</f>
        <v>0.62567214847160835</v>
      </c>
      <c r="Q29" s="9">
        <f>1685016120</f>
        <v>1685016120</v>
      </c>
      <c r="R29" s="9">
        <f>1018366101.6</f>
        <v>1018366101.6</v>
      </c>
      <c r="S29" s="14">
        <f>+R29/Q29</f>
        <v>0.60436579182399752</v>
      </c>
      <c r="T29" s="9">
        <f>1476033000</f>
        <v>1476033000</v>
      </c>
      <c r="U29" s="9">
        <f>1313487561.66</f>
        <v>1313487561.6600001</v>
      </c>
      <c r="V29" s="14">
        <f>+U29/T29</f>
        <v>0.88987682637176813</v>
      </c>
      <c r="W29" s="9">
        <f>2135429000</f>
        <v>2135429000</v>
      </c>
      <c r="X29" s="9">
        <f>2052003364.03</f>
        <v>2052003364.03</v>
      </c>
      <c r="Y29" s="14">
        <f>+X29/W29</f>
        <v>0.96093261074472625</v>
      </c>
      <c r="Z29" s="9">
        <f>3940042512</f>
        <v>3940042512</v>
      </c>
      <c r="AA29" s="9">
        <f>3402577546.09</f>
        <v>3402577546.0900002</v>
      </c>
      <c r="AB29" s="14">
        <f>+AA29/Z29</f>
        <v>0.86358904395750336</v>
      </c>
      <c r="AC29" s="9"/>
      <c r="AD29" s="9"/>
      <c r="AE29" s="9"/>
      <c r="AF29" s="9">
        <f>4272756332</f>
        <v>4272756332</v>
      </c>
      <c r="AG29" s="9">
        <f>4153549108.98</f>
        <v>4153549108.98</v>
      </c>
      <c r="AH29" s="14">
        <f>+AG29/AF29</f>
        <v>0.97210062691213628</v>
      </c>
      <c r="AI29" s="9">
        <f>2272841078</f>
        <v>2272841078</v>
      </c>
      <c r="AK29" s="34"/>
    </row>
    <row r="30" spans="1:37" s="2" customFormat="1" x14ac:dyDescent="0.2">
      <c r="A30" s="9" t="s">
        <v>23</v>
      </c>
      <c r="B30" s="9">
        <v>0</v>
      </c>
      <c r="C30" s="9">
        <v>0</v>
      </c>
      <c r="D30" s="14">
        <v>1</v>
      </c>
      <c r="E30" s="9">
        <v>0</v>
      </c>
      <c r="F30" s="9">
        <v>0</v>
      </c>
      <c r="G30" s="14">
        <v>0</v>
      </c>
      <c r="H30" s="9">
        <v>0</v>
      </c>
      <c r="I30" s="9">
        <v>0</v>
      </c>
      <c r="J30" s="14">
        <v>0</v>
      </c>
      <c r="K30" s="9">
        <v>9286582399.0474968</v>
      </c>
      <c r="L30" s="9">
        <v>9048093997.0880718</v>
      </c>
      <c r="M30" s="14">
        <f>+L30/K30</f>
        <v>0.97431903452621216</v>
      </c>
      <c r="N30" s="9">
        <f>9856908594</f>
        <v>9856908594</v>
      </c>
      <c r="O30" s="9">
        <f>7759309433.27</f>
        <v>7759309433.2700005</v>
      </c>
      <c r="P30" s="14">
        <f>+O30/N30</f>
        <v>0.78719502765737026</v>
      </c>
      <c r="Q30" s="9">
        <f>3754720424</f>
        <v>3754720424</v>
      </c>
      <c r="R30" s="9">
        <f>3501413718</f>
        <v>3501413718</v>
      </c>
      <c r="S30" s="14">
        <f>+R30/Q30</f>
        <v>0.93253646679500413</v>
      </c>
      <c r="T30" s="9">
        <f>18539000000</f>
        <v>18539000000</v>
      </c>
      <c r="U30" s="9">
        <f>18434795990</f>
        <v>18434795990</v>
      </c>
      <c r="V30" s="14">
        <f>+U30/T30</f>
        <v>0.99437920006472846</v>
      </c>
      <c r="W30" s="9">
        <f>32613939000</f>
        <v>32613939000</v>
      </c>
      <c r="X30" s="9">
        <f>31130184913.55</f>
        <v>31130184913.549999</v>
      </c>
      <c r="Y30" s="14">
        <f>+X30/W30</f>
        <v>0.95450552334540151</v>
      </c>
      <c r="Z30" s="9">
        <f>20557000000</f>
        <v>20557000000</v>
      </c>
      <c r="AA30" s="9">
        <f>20179635666.5</f>
        <v>20179635666.5</v>
      </c>
      <c r="AB30" s="14">
        <f>+AA30/Z30</f>
        <v>0.98164302507661627</v>
      </c>
      <c r="AC30" s="9"/>
      <c r="AD30" s="9"/>
      <c r="AE30" s="9"/>
      <c r="AF30" s="9">
        <f>7932460746</f>
        <v>7932460746</v>
      </c>
      <c r="AG30" s="9">
        <f>7863607701</f>
        <v>7863607701</v>
      </c>
      <c r="AH30" s="14">
        <f>+AG30/AF30</f>
        <v>0.9913200900446032</v>
      </c>
      <c r="AI30" s="9">
        <f>6169000000</f>
        <v>6169000000</v>
      </c>
      <c r="AK30" s="34"/>
    </row>
    <row r="31" spans="1:37" s="2" customFormat="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K31" s="34"/>
    </row>
    <row r="32" spans="1:37" s="2" customFormat="1" x14ac:dyDescent="0.2">
      <c r="A32" s="9" t="s">
        <v>10</v>
      </c>
      <c r="B32" s="7">
        <f>SUM(B33:B34)</f>
        <v>0</v>
      </c>
      <c r="C32" s="7">
        <f>SUM(C33:C34)</f>
        <v>0</v>
      </c>
      <c r="D32" s="6">
        <v>0</v>
      </c>
      <c r="E32" s="7">
        <f>SUM(E33:E34)</f>
        <v>0</v>
      </c>
      <c r="F32" s="7">
        <f>SUM(F33:F34)</f>
        <v>0</v>
      </c>
      <c r="G32" s="6">
        <v>0</v>
      </c>
      <c r="H32" s="7">
        <f>SUM(H33:H34)</f>
        <v>2438901883.5257282</v>
      </c>
      <c r="I32" s="7">
        <f>SUM(I33:I34)</f>
        <v>2324788000.351068</v>
      </c>
      <c r="J32" s="6">
        <f>+I32/H32</f>
        <v>0.9532109577898662</v>
      </c>
      <c r="K32" s="7">
        <f>SUM(K33:K34)</f>
        <v>2433269760.214992</v>
      </c>
      <c r="L32" s="7">
        <f>SUM(L33:L34)</f>
        <v>4297767826.8941784</v>
      </c>
      <c r="M32" s="6">
        <f>+L32/K32</f>
        <v>1.7662521012526158</v>
      </c>
      <c r="N32" s="7">
        <f>SUM(N33:N34)</f>
        <v>3006703218</v>
      </c>
      <c r="O32" s="7">
        <f>SUM(O33:O34)</f>
        <v>2815172478.9200001</v>
      </c>
      <c r="P32" s="6">
        <f>+O32/N32</f>
        <v>0.9362987547512579</v>
      </c>
      <c r="Q32" s="7">
        <f>SUM(Q33:Q34)</f>
        <v>4429761513</v>
      </c>
      <c r="R32" s="7">
        <f>SUM(R33:R34)</f>
        <v>4224931405</v>
      </c>
      <c r="S32" s="6">
        <f>+R32/Q32</f>
        <v>0.9537604660208262</v>
      </c>
      <c r="T32" s="7">
        <f>SUM(T33:T34)</f>
        <v>4079089962</v>
      </c>
      <c r="U32" s="7">
        <f>SUM(U33:U34)</f>
        <v>3837634143.8000002</v>
      </c>
      <c r="V32" s="6">
        <f>+U32/T32</f>
        <v>0.94080644936754165</v>
      </c>
      <c r="W32" s="7">
        <f>SUM(W33:W34)</f>
        <v>5932698000</v>
      </c>
      <c r="X32" s="7">
        <f>SUM(X33:X34)</f>
        <v>5647668017</v>
      </c>
      <c r="Y32" s="6">
        <f>+X32/W32</f>
        <v>0.9519560943435853</v>
      </c>
      <c r="Z32" s="7">
        <f>SUM(Z33:Z34)</f>
        <v>6312000000</v>
      </c>
      <c r="AA32" s="7">
        <f>SUM(AA33:AA34)</f>
        <v>5988060601</v>
      </c>
      <c r="AB32" s="6">
        <f>+AA32/Z32</f>
        <v>0.94867880243979719</v>
      </c>
      <c r="AC32" s="7">
        <f>SUM(AC33:AC34)</f>
        <v>4755000000</v>
      </c>
      <c r="AD32" s="7">
        <f>SUM(AD33:AD34)</f>
        <v>4524231739</v>
      </c>
      <c r="AE32" s="6">
        <f>+AD32/AC32</f>
        <v>0.95146829421661405</v>
      </c>
      <c r="AF32" s="7">
        <f>SUM(AF33:AF34)</f>
        <v>6252140474</v>
      </c>
      <c r="AG32" s="7">
        <f>SUM(AG33:AG34)</f>
        <v>5813809006</v>
      </c>
      <c r="AH32" s="6">
        <f>+AG32/AF32</f>
        <v>0.92989097576696578</v>
      </c>
      <c r="AI32" s="7">
        <f>SUM(AI33:AI34)</f>
        <v>6703155789</v>
      </c>
      <c r="AK32" s="34"/>
    </row>
    <row r="33" spans="1:37" s="2" customFormat="1" x14ac:dyDescent="0.2">
      <c r="A33" s="9" t="s">
        <v>0</v>
      </c>
      <c r="B33" s="9">
        <v>0</v>
      </c>
      <c r="C33" s="9">
        <v>0</v>
      </c>
      <c r="D33" s="14">
        <v>0</v>
      </c>
      <c r="E33" s="9">
        <v>0</v>
      </c>
      <c r="F33" s="9">
        <v>0</v>
      </c>
      <c r="G33" s="14">
        <v>0</v>
      </c>
      <c r="H33" s="9">
        <v>2343332710.9426455</v>
      </c>
      <c r="I33" s="9">
        <v>2230758201.3889976</v>
      </c>
      <c r="J33" s="14">
        <f>+I33/H33</f>
        <v>0.95195965599423438</v>
      </c>
      <c r="K33" s="9">
        <v>1519011094.2984283</v>
      </c>
      <c r="L33" s="9">
        <v>3396430943.2577395</v>
      </c>
      <c r="M33" s="41" t="s">
        <v>43</v>
      </c>
      <c r="N33" s="9">
        <f>2354398218</f>
        <v>2354398218</v>
      </c>
      <c r="O33" s="9">
        <f>2230448025.92</f>
        <v>2230448025.9200001</v>
      </c>
      <c r="P33" s="14">
        <f>+O33/N33</f>
        <v>0.94735376915749947</v>
      </c>
      <c r="Q33" s="9">
        <f>2985302513</f>
        <v>2985302513</v>
      </c>
      <c r="R33" s="9">
        <f>2782577993</f>
        <v>2782577993</v>
      </c>
      <c r="S33" s="14">
        <f>+R33/Q33</f>
        <v>0.93209246998680972</v>
      </c>
      <c r="T33" s="9">
        <f>3925089962</f>
        <v>3925089962</v>
      </c>
      <c r="U33" s="9">
        <f>3683634143.8</f>
        <v>3683634143.8000002</v>
      </c>
      <c r="V33" s="14">
        <f>+U33/T33</f>
        <v>0.93848400405147203</v>
      </c>
      <c r="W33" s="9">
        <f>4617698000</f>
        <v>4617698000</v>
      </c>
      <c r="X33" s="9">
        <f>4343037091</f>
        <v>4343037091</v>
      </c>
      <c r="Y33" s="14">
        <f>+X33/W33</f>
        <v>0.94051994976717834</v>
      </c>
      <c r="Z33" s="9">
        <f>4992000000</f>
        <v>4992000000</v>
      </c>
      <c r="AA33" s="9">
        <f>4668060601</f>
        <v>4668060601</v>
      </c>
      <c r="AB33" s="14">
        <f>+AA33/Z33</f>
        <v>0.93510829346955127</v>
      </c>
      <c r="AC33" s="9">
        <f>4555000000</f>
        <v>4555000000</v>
      </c>
      <c r="AD33" s="9">
        <f>4324231739</f>
        <v>4324231739</v>
      </c>
      <c r="AE33" s="14">
        <f>+AD33/AC33</f>
        <v>0.94933737409440178</v>
      </c>
      <c r="AF33" s="9">
        <v>5402140474</v>
      </c>
      <c r="AG33" s="9">
        <v>4963809006</v>
      </c>
      <c r="AH33" s="14">
        <f>+AG33/AF33</f>
        <v>0.91885966866103375</v>
      </c>
      <c r="AI33" s="9">
        <f>5353155789</f>
        <v>5353155789</v>
      </c>
      <c r="AK33" s="34"/>
    </row>
    <row r="34" spans="1:37" s="2" customFormat="1" x14ac:dyDescent="0.2">
      <c r="A34" s="9" t="s">
        <v>23</v>
      </c>
      <c r="B34" s="9">
        <v>0</v>
      </c>
      <c r="C34" s="9">
        <v>0</v>
      </c>
      <c r="D34" s="14">
        <v>1</v>
      </c>
      <c r="E34" s="9">
        <v>0</v>
      </c>
      <c r="F34" s="9">
        <v>0</v>
      </c>
      <c r="G34" s="14">
        <v>0</v>
      </c>
      <c r="H34" s="9">
        <v>95569172.58308278</v>
      </c>
      <c r="I34" s="9">
        <v>94029798.962070242</v>
      </c>
      <c r="J34" s="14">
        <f>+I34/H34</f>
        <v>0.98389257142857145</v>
      </c>
      <c r="K34" s="9">
        <v>914258665.91656375</v>
      </c>
      <c r="L34" s="9">
        <v>901336883.63643873</v>
      </c>
      <c r="M34" s="14">
        <f>+L34/K34</f>
        <v>0.98586638250000003</v>
      </c>
      <c r="N34" s="9">
        <f>652305000</f>
        <v>652305000</v>
      </c>
      <c r="O34" s="9">
        <f>584724453</f>
        <v>584724453</v>
      </c>
      <c r="P34" s="14">
        <f>+O34/N34</f>
        <v>0.89639731873893347</v>
      </c>
      <c r="Q34" s="9">
        <f>1444459000</f>
        <v>1444459000</v>
      </c>
      <c r="R34" s="9">
        <f>1442353412</f>
        <v>1442353412</v>
      </c>
      <c r="S34" s="14">
        <f>+R34/Q34</f>
        <v>0.99854229991990084</v>
      </c>
      <c r="T34" s="9">
        <f>154000000</f>
        <v>154000000</v>
      </c>
      <c r="U34" s="9">
        <f>154000000</f>
        <v>154000000</v>
      </c>
      <c r="V34" s="14">
        <f>+U34/T34</f>
        <v>1</v>
      </c>
      <c r="W34" s="9">
        <f>1315000000</f>
        <v>1315000000</v>
      </c>
      <c r="X34" s="9">
        <f>1304630926</f>
        <v>1304630926</v>
      </c>
      <c r="Y34" s="14">
        <f>+X34/W34</f>
        <v>0.99211477262357417</v>
      </c>
      <c r="Z34" s="9">
        <f>1320000000</f>
        <v>1320000000</v>
      </c>
      <c r="AA34" s="9">
        <f>1320000000</f>
        <v>1320000000</v>
      </c>
      <c r="AB34" s="14">
        <f>+AA34/Z34</f>
        <v>1</v>
      </c>
      <c r="AC34" s="9">
        <f>200000000</f>
        <v>200000000</v>
      </c>
      <c r="AD34" s="9">
        <f>200000000</f>
        <v>200000000</v>
      </c>
      <c r="AE34" s="14">
        <f>+AD34/AC34</f>
        <v>1</v>
      </c>
      <c r="AF34" s="9">
        <v>850000000</v>
      </c>
      <c r="AG34" s="9">
        <v>850000000</v>
      </c>
      <c r="AH34" s="14">
        <f>+AG34/AF34</f>
        <v>1</v>
      </c>
      <c r="AI34" s="9">
        <f>1350000000</f>
        <v>1350000000</v>
      </c>
      <c r="AK34" s="34"/>
    </row>
    <row r="35" spans="1:37" s="2" customForma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K35" s="34"/>
    </row>
    <row r="36" spans="1:37" s="2" customFormat="1" x14ac:dyDescent="0.2">
      <c r="A36" s="9" t="s">
        <v>2</v>
      </c>
      <c r="B36" s="7">
        <f>SUM(B37:B38)</f>
        <v>30520951594.094067</v>
      </c>
      <c r="C36" s="7">
        <f>SUM(C37:C38)</f>
        <v>28225432111.888294</v>
      </c>
      <c r="D36" s="6">
        <f>+C36/B36</f>
        <v>0.92478873159872366</v>
      </c>
      <c r="E36" s="7">
        <f>SUM(E37:E38)</f>
        <v>41905060943.932304</v>
      </c>
      <c r="F36" s="7">
        <f>SUM(F37:F38)</f>
        <v>40623515710.933922</v>
      </c>
      <c r="G36" s="6">
        <f>+F36/E36</f>
        <v>0.96941788881507529</v>
      </c>
      <c r="H36" s="7">
        <f>SUM(H37:H38)</f>
        <v>66676647082.083321</v>
      </c>
      <c r="I36" s="7">
        <f>SUM(I37:I38)</f>
        <v>65561104490.823006</v>
      </c>
      <c r="J36" s="6">
        <f>+I36/H36</f>
        <v>0.9832693658112861</v>
      </c>
      <c r="K36" s="7">
        <f>SUM(K37:K38)</f>
        <v>67981747777.448669</v>
      </c>
      <c r="L36" s="7">
        <f>SUM(L37:L38)</f>
        <v>64719726515.048042</v>
      </c>
      <c r="M36" s="6">
        <f>+L36/K36</f>
        <v>0.95201621951410431</v>
      </c>
      <c r="N36" s="7">
        <f>SUM(N37:N38)</f>
        <v>68531522762</v>
      </c>
      <c r="O36" s="7">
        <f>SUM(O37:O38)</f>
        <v>60757602378.740005</v>
      </c>
      <c r="P36" s="6">
        <f>+O36/N36</f>
        <v>0.88656431274323655</v>
      </c>
      <c r="Q36" s="7">
        <f>SUM(Q37:Q38)</f>
        <v>80960274517</v>
      </c>
      <c r="R36" s="7">
        <f>SUM(R37:R38)</f>
        <v>72553473678.720001</v>
      </c>
      <c r="S36" s="6">
        <f>+R36/Q36</f>
        <v>0.89616140893254082</v>
      </c>
      <c r="T36" s="7">
        <f>SUM(T37:T38)</f>
        <v>119539330242</v>
      </c>
      <c r="U36" s="7">
        <f>SUM(U37:U38)</f>
        <v>106998539218.20999</v>
      </c>
      <c r="V36" s="6">
        <f>+U36/T36</f>
        <v>0.89509067017188437</v>
      </c>
      <c r="W36" s="7">
        <f>SUM(W37:W38)</f>
        <v>93319161000</v>
      </c>
      <c r="X36" s="7">
        <f>SUM(X37:X38)</f>
        <v>89391324589.110001</v>
      </c>
      <c r="Y36" s="6">
        <f>+X36/W36</f>
        <v>0.95790964718499771</v>
      </c>
      <c r="Z36" s="7">
        <f>SUM(Z37:Z38)</f>
        <v>74736000000</v>
      </c>
      <c r="AA36" s="7">
        <f>SUM(AA37:AA38)</f>
        <v>72454300100.610001</v>
      </c>
      <c r="AB36" s="6">
        <f>+AA36/Z36</f>
        <v>0.96946986861231532</v>
      </c>
      <c r="AC36" s="7">
        <f>SUM(AC37:AC38)</f>
        <v>72417594225</v>
      </c>
      <c r="AD36" s="7">
        <f>SUM(AD37:AD38)</f>
        <v>72252618758.929993</v>
      </c>
      <c r="AE36" s="6">
        <f>+AD36/AC36</f>
        <v>0.99772188695529662</v>
      </c>
      <c r="AF36" s="7">
        <f>SUM(AF37:AF38)</f>
        <v>83814401055</v>
      </c>
      <c r="AG36" s="7">
        <f>SUM(AG37:AG38)</f>
        <v>83315311293.169998</v>
      </c>
      <c r="AH36" s="6">
        <f>+AG36/AF36</f>
        <v>0.99404529823577104</v>
      </c>
      <c r="AI36" s="7">
        <f>SUM(AI37:AI38)</f>
        <v>78117024716</v>
      </c>
      <c r="AK36" s="34"/>
    </row>
    <row r="37" spans="1:37" s="2" customFormat="1" x14ac:dyDescent="0.2">
      <c r="A37" s="9" t="s">
        <v>0</v>
      </c>
      <c r="B37" s="9">
        <v>29102461008.837948</v>
      </c>
      <c r="C37" s="9">
        <v>27726526055.442066</v>
      </c>
      <c r="D37" s="14">
        <f>+C37/B37</f>
        <v>0.95272101033043111</v>
      </c>
      <c r="E37" s="9">
        <v>36149080317.431</v>
      </c>
      <c r="F37" s="9">
        <v>34868627230.583946</v>
      </c>
      <c r="G37" s="14">
        <f>+F37/E37</f>
        <v>0.96457854319935155</v>
      </c>
      <c r="H37" s="9">
        <v>45938041062.381775</v>
      </c>
      <c r="I37" s="9">
        <v>44906295396.982529</v>
      </c>
      <c r="J37" s="14">
        <f>+I37/H37</f>
        <v>0.97754049494626505</v>
      </c>
      <c r="K37" s="9">
        <v>55166451489.789635</v>
      </c>
      <c r="L37" s="9">
        <v>53408472665.58699</v>
      </c>
      <c r="M37" s="14">
        <f>+L37/K37</f>
        <v>0.96813319006882259</v>
      </c>
      <c r="N37" s="9">
        <f>(26351344313+14367846839)</f>
        <v>40719191152</v>
      </c>
      <c r="O37" s="9">
        <f>(23585597610.52+10568943748.68)</f>
        <v>34154541359.200001</v>
      </c>
      <c r="P37" s="14">
        <f>+O37/N37</f>
        <v>0.83878241175530899</v>
      </c>
      <c r="Q37" s="9">
        <f>(29620316229+20632558898)</f>
        <v>50252875127</v>
      </c>
      <c r="R37" s="9">
        <f>(27736611113.15+14345511779.57)</f>
        <v>42082122892.720001</v>
      </c>
      <c r="S37" s="14">
        <f>+R37/Q37</f>
        <v>0.83740726846711311</v>
      </c>
      <c r="T37" s="9">
        <f>(36826890060+25120787182)</f>
        <v>61947677242</v>
      </c>
      <c r="U37" s="9">
        <f>(33524291043.62+18450157945.05)</f>
        <v>51974448988.669998</v>
      </c>
      <c r="V37" s="14">
        <f>+U37/T37</f>
        <v>0.83900561413514574</v>
      </c>
      <c r="W37" s="9">
        <f>47937629000</f>
        <v>47937629000</v>
      </c>
      <c r="X37" s="9">
        <f>47378315463.32</f>
        <v>47378315463.32</v>
      </c>
      <c r="Y37" s="14">
        <f>+X37/W37</f>
        <v>0.98833247391772339</v>
      </c>
      <c r="Z37" s="9">
        <f>56799000000</f>
        <v>56799000000</v>
      </c>
      <c r="AA37" s="9">
        <f>55100919901.27</f>
        <v>55100919901.269997</v>
      </c>
      <c r="AB37" s="14">
        <f>+AA37/Z37</f>
        <v>0.97010369727055046</v>
      </c>
      <c r="AC37" s="9">
        <f>63567594225</f>
        <v>63567594225</v>
      </c>
      <c r="AD37" s="9">
        <f>63484323060.84</f>
        <v>63484323060.839996</v>
      </c>
      <c r="AE37" s="14">
        <f>+AD37/AC37</f>
        <v>0.9986900375077078</v>
      </c>
      <c r="AF37" s="9">
        <v>61560241055</v>
      </c>
      <c r="AG37" s="9">
        <v>61181125613</v>
      </c>
      <c r="AH37" s="14">
        <f>+AG37/AF37</f>
        <v>0.99384155364724314</v>
      </c>
      <c r="AI37" s="9">
        <f>57541107716</f>
        <v>57541107716</v>
      </c>
      <c r="AK37" s="34"/>
    </row>
    <row r="38" spans="1:37" s="2" customFormat="1" x14ac:dyDescent="0.2">
      <c r="A38" s="9" t="s">
        <v>23</v>
      </c>
      <c r="B38" s="9">
        <v>1418490585.2561181</v>
      </c>
      <c r="C38" s="9">
        <v>498906056.44622755</v>
      </c>
      <c r="D38" s="14">
        <f>+C38/B38</f>
        <v>0.35171615633680547</v>
      </c>
      <c r="E38" s="9">
        <v>5755980626.5013037</v>
      </c>
      <c r="F38" s="9">
        <v>5754888480.3499737</v>
      </c>
      <c r="G38" s="14">
        <f>+F38/E38</f>
        <v>0.99981025889032682</v>
      </c>
      <c r="H38" s="9">
        <v>20738606019.701546</v>
      </c>
      <c r="I38" s="9">
        <v>20654809093.840477</v>
      </c>
      <c r="J38" s="14">
        <f>+I38/H38</f>
        <v>0.99595937519708599</v>
      </c>
      <c r="K38" s="9">
        <v>12815296287.659031</v>
      </c>
      <c r="L38" s="9">
        <v>11311253849.46105</v>
      </c>
      <c r="M38" s="14">
        <f>+L38/K38</f>
        <v>0.88263693601478765</v>
      </c>
      <c r="N38" s="9">
        <f>27812331610</f>
        <v>27812331610</v>
      </c>
      <c r="O38" s="9">
        <f>26603061019.54</f>
        <v>26603061019.540001</v>
      </c>
      <c r="P38" s="14">
        <f>+O38/N38</f>
        <v>0.95652034473710923</v>
      </c>
      <c r="Q38" s="9">
        <f>30707399390</f>
        <v>30707399390</v>
      </c>
      <c r="R38" s="9">
        <f>30471350786</f>
        <v>30471350786</v>
      </c>
      <c r="S38" s="14">
        <f>+R38/Q38</f>
        <v>0.99231297313712374</v>
      </c>
      <c r="T38" s="9">
        <f>57591653000+0</f>
        <v>57591653000</v>
      </c>
      <c r="U38" s="9">
        <f>55024090229.54</f>
        <v>55024090229.540001</v>
      </c>
      <c r="V38" s="14">
        <f>+U38/T38</f>
        <v>0.95541779690782624</v>
      </c>
      <c r="W38" s="9">
        <f>45381532000</f>
        <v>45381532000</v>
      </c>
      <c r="X38" s="9">
        <f>42013009125.79</f>
        <v>42013009125.790001</v>
      </c>
      <c r="Y38" s="14">
        <f>+X38/W38</f>
        <v>0.92577326666252702</v>
      </c>
      <c r="Z38" s="9">
        <f>17937000000</f>
        <v>17937000000</v>
      </c>
      <c r="AA38" s="9">
        <f>17353380199.34</f>
        <v>17353380199.34</v>
      </c>
      <c r="AB38" s="14">
        <f>+AA38/Z38</f>
        <v>0.96746279753247477</v>
      </c>
      <c r="AC38" s="9">
        <f>8850000000</f>
        <v>8850000000</v>
      </c>
      <c r="AD38" s="9">
        <f>8768295698.09</f>
        <v>8768295698.0900002</v>
      </c>
      <c r="AE38" s="14">
        <f>+AD38/AC38</f>
        <v>0.99076787549039547</v>
      </c>
      <c r="AF38" s="9">
        <v>22254160000</v>
      </c>
      <c r="AG38" s="9">
        <v>22134185680.169998</v>
      </c>
      <c r="AH38" s="14">
        <f>+AG38/AF38</f>
        <v>0.99460890369126487</v>
      </c>
      <c r="AI38" s="9">
        <f>20575917000</f>
        <v>20575917000</v>
      </c>
      <c r="AK38" s="34"/>
    </row>
    <row r="39" spans="1:37" s="2" customFormat="1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K39" s="38">
        <v>8825667896</v>
      </c>
    </row>
    <row r="40" spans="1:37" s="2" customFormat="1" x14ac:dyDescent="0.2">
      <c r="A40" s="9" t="s">
        <v>11</v>
      </c>
      <c r="B40" s="7">
        <f>SUM(B41:B43)</f>
        <v>615730991686.41382</v>
      </c>
      <c r="C40" s="7">
        <f>SUM(C41:C43)</f>
        <v>588786413735.41699</v>
      </c>
      <c r="D40" s="6">
        <f>+C40/B40</f>
        <v>0.9562396918219126</v>
      </c>
      <c r="E40" s="7">
        <f>SUM(E41:E43)</f>
        <v>672733831752.86658</v>
      </c>
      <c r="F40" s="7">
        <f>SUM(F41:F43)</f>
        <v>644329840167.2644</v>
      </c>
      <c r="G40" s="9"/>
      <c r="H40" s="7">
        <f>SUM(H41:H43)</f>
        <v>991651616009.02405</v>
      </c>
      <c r="I40" s="7">
        <f>SUM(I41:I43)</f>
        <v>924671199798.41626</v>
      </c>
      <c r="J40" s="6">
        <f>+I40/H40</f>
        <v>0.93245569802006123</v>
      </c>
      <c r="K40" s="7">
        <f>SUM(K41:K43)</f>
        <v>1054631983342.7532</v>
      </c>
      <c r="L40" s="7">
        <f>SUM(L41:L43)</f>
        <v>1024380671843.0583</v>
      </c>
      <c r="M40" s="6">
        <f>+L40/K40</f>
        <v>0.97131576514130502</v>
      </c>
      <c r="N40" s="7">
        <f>SUM(N41:N43)</f>
        <v>686998712232.35999</v>
      </c>
      <c r="O40" s="7">
        <f>SUM(O41:O43)</f>
        <v>655071554221.78992</v>
      </c>
      <c r="P40" s="6">
        <f>+O40/N40</f>
        <v>0.95352661156114149</v>
      </c>
      <c r="Q40" s="7">
        <f>+Q42+Q41</f>
        <v>469175825943</v>
      </c>
      <c r="R40" s="7">
        <f>+R42+R41</f>
        <v>421355114818.15002</v>
      </c>
      <c r="S40" s="6">
        <f>+R40/Q40</f>
        <v>0.89807507445905854</v>
      </c>
      <c r="T40" s="7">
        <f>+T42+T41</f>
        <v>557716104695</v>
      </c>
      <c r="U40" s="7">
        <f>+U42+U41</f>
        <v>503482838062.25</v>
      </c>
      <c r="V40" s="6">
        <f>+U40/T40</f>
        <v>0.90275829194064838</v>
      </c>
      <c r="W40" s="7">
        <f>+W42+W41</f>
        <v>617854221537.5</v>
      </c>
      <c r="X40" s="7">
        <f>+X42+X41</f>
        <v>602126071329.25</v>
      </c>
      <c r="Y40" s="6">
        <f>+X40/W40</f>
        <v>0.97454391398490203</v>
      </c>
      <c r="Z40" s="7">
        <f>+Z42+Z41</f>
        <v>720205257105</v>
      </c>
      <c r="AA40" s="7">
        <f>+AA42+AA41</f>
        <v>714835808525.02002</v>
      </c>
      <c r="AB40" s="6">
        <f>+AA40/Z40</f>
        <v>0.99254455792010809</v>
      </c>
      <c r="AC40" s="7">
        <f>+AC42+AC41</f>
        <v>960060874768</v>
      </c>
      <c r="AD40" s="7">
        <f>+AD42+AD41</f>
        <v>914099702232.96997</v>
      </c>
      <c r="AE40" s="6">
        <f>+AD40/AC40</f>
        <v>0.95212681430629431</v>
      </c>
      <c r="AF40" s="7">
        <f>+AF42+AF41</f>
        <v>947354250223.29004</v>
      </c>
      <c r="AG40" s="7">
        <f>+AG42+AG41</f>
        <v>919549776741.72998</v>
      </c>
      <c r="AH40" s="6">
        <f>+AG40/AF40</f>
        <v>0.97065039453297797</v>
      </c>
      <c r="AI40" s="7">
        <f>SUM(AI41:AI43)</f>
        <v>2158467310742</v>
      </c>
      <c r="AK40" s="38">
        <v>644032673821</v>
      </c>
    </row>
    <row r="41" spans="1:37" s="2" customFormat="1" x14ac:dyDescent="0.2">
      <c r="A41" s="9" t="s">
        <v>0</v>
      </c>
      <c r="B41" s="9">
        <v>163228272792.56049</v>
      </c>
      <c r="C41" s="9">
        <v>159907156034.46509</v>
      </c>
      <c r="D41" s="14">
        <f>+C41/B41</f>
        <v>0.9796535446875918</v>
      </c>
      <c r="E41" s="9">
        <v>136331921251.56467</v>
      </c>
      <c r="F41" s="9">
        <v>130410068434.23218</v>
      </c>
      <c r="G41" s="14">
        <f>+F41/E41</f>
        <v>0.95656297686581215</v>
      </c>
      <c r="H41" s="9">
        <v>368230889714.97125</v>
      </c>
      <c r="I41" s="9">
        <v>356914819947.05994</v>
      </c>
      <c r="J41" s="14">
        <f>+I41/H41</f>
        <v>0.96926909152931062</v>
      </c>
      <c r="K41" s="9">
        <v>335536892477.58905</v>
      </c>
      <c r="L41" s="9">
        <v>319838610417.68481</v>
      </c>
      <c r="M41" s="14">
        <f>+L41/K41</f>
        <v>0.95321443807866002</v>
      </c>
      <c r="N41" s="9">
        <f>(21533092373+194396169150.36)</f>
        <v>215929261523.35999</v>
      </c>
      <c r="O41" s="9">
        <f>(20461603290.61+183033366656.43)</f>
        <v>203494969947.03998</v>
      </c>
      <c r="P41" s="14">
        <f>+O41/N41</f>
        <v>0.94241497660577689</v>
      </c>
      <c r="Q41" s="9">
        <f>(54861639252+198129080796)</f>
        <v>252990720048</v>
      </c>
      <c r="R41" s="9">
        <f>(49953272826.49+192639989165)</f>
        <v>242593261991.48999</v>
      </c>
      <c r="S41" s="14">
        <f>+R41/Q41</f>
        <v>0.95890182037294769</v>
      </c>
      <c r="T41" s="9">
        <f>(52647962570+297501690240)</f>
        <v>350149652810</v>
      </c>
      <c r="U41" s="9">
        <f>(48307619041.44+281290270907.22)</f>
        <v>329597889948.65997</v>
      </c>
      <c r="V41" s="14">
        <f>+U41/T41</f>
        <v>0.94130577398432569</v>
      </c>
      <c r="W41" s="9">
        <f>(39876494800+241236625128.5+135605437614+15480000000+500000000)</f>
        <v>432698557542.5</v>
      </c>
      <c r="X41" s="9">
        <f>(38478726343.21+240170162294.28+123440460804.08+14769773505.03+476997051.8)</f>
        <v>417336119998.40002</v>
      </c>
      <c r="Y41" s="14">
        <f>+X41/W41</f>
        <v>0.9644962127182708</v>
      </c>
      <c r="Z41" s="9">
        <f>441768717483</f>
        <v>441768717483</v>
      </c>
      <c r="AA41" s="9">
        <f>436993396319.86</f>
        <v>436993396319.85999</v>
      </c>
      <c r="AB41" s="14">
        <f>+AA41/Z41</f>
        <v>0.98919044972141157</v>
      </c>
      <c r="AC41" s="9">
        <f>504823786088</f>
        <v>504823786088</v>
      </c>
      <c r="AD41" s="9">
        <f>500411105459.84</f>
        <v>500411105459.84003</v>
      </c>
      <c r="AE41" s="14">
        <f>+AD41/AC41</f>
        <v>0.99125896847619865</v>
      </c>
      <c r="AF41" s="9">
        <v>475499032636</v>
      </c>
      <c r="AG41" s="9">
        <v>454464237921.75</v>
      </c>
      <c r="AH41" s="14">
        <f>+AG41/AF41</f>
        <v>0.95576269714442852</v>
      </c>
      <c r="AI41" s="9">
        <f>46139007019+255539398551+160707018462+8025667896</f>
        <v>470411091928</v>
      </c>
      <c r="AK41" s="38">
        <v>1435841962006</v>
      </c>
    </row>
    <row r="42" spans="1:37" s="2" customFormat="1" x14ac:dyDescent="0.2">
      <c r="A42" s="9" t="s">
        <v>1</v>
      </c>
      <c r="B42" s="9">
        <v>196430324014.85568</v>
      </c>
      <c r="C42" s="9">
        <v>192137256843.76932</v>
      </c>
      <c r="D42" s="14">
        <f>+C42/B42</f>
        <v>0.9781445803105141</v>
      </c>
      <c r="E42" s="9">
        <v>184903623751.80243</v>
      </c>
      <c r="F42" s="9">
        <v>177826845718.02005</v>
      </c>
      <c r="G42" s="14">
        <f>+F42/E42</f>
        <v>0.96172720744899198</v>
      </c>
      <c r="H42" s="9">
        <v>259198516342.77182</v>
      </c>
      <c r="I42" s="9">
        <v>212406513459.70105</v>
      </c>
      <c r="J42" s="14">
        <f>+I42/H42</f>
        <v>0.81947426419219305</v>
      </c>
      <c r="K42" s="9">
        <v>308623288593.91205</v>
      </c>
      <c r="L42" s="9">
        <v>306421223910.42529</v>
      </c>
      <c r="M42" s="14">
        <f>+L42/K42</f>
        <v>0.99286487842988336</v>
      </c>
      <c r="N42" s="9">
        <f>203211613523+0</f>
        <v>203211613523</v>
      </c>
      <c r="O42" s="9">
        <f>188860718188.41</f>
        <v>188860718188.41</v>
      </c>
      <c r="P42" s="14">
        <f>+O42/N42</f>
        <v>0.92937955126779348</v>
      </c>
      <c r="Q42" s="9">
        <f>216185105895</f>
        <v>216185105895</v>
      </c>
      <c r="R42" s="9">
        <f>178761852826.66</f>
        <v>178761852826.66</v>
      </c>
      <c r="S42" s="14">
        <f>+R42/Q42</f>
        <v>0.82689254695225733</v>
      </c>
      <c r="T42" s="9">
        <f>207566451885</f>
        <v>207566451885</v>
      </c>
      <c r="U42" s="9">
        <f>173884948113.59</f>
        <v>173884948113.59</v>
      </c>
      <c r="V42" s="14">
        <f>+U42/T42</f>
        <v>0.83773146640252405</v>
      </c>
      <c r="W42" s="9">
        <f>185155663995</f>
        <v>185155663995</v>
      </c>
      <c r="X42" s="9">
        <f>184789951330.85</f>
        <v>184789951330.85001</v>
      </c>
      <c r="Y42" s="14">
        <f>+X42/W42</f>
        <v>0.99802483674407139</v>
      </c>
      <c r="Z42" s="9">
        <f>278436539622</f>
        <v>278436539622</v>
      </c>
      <c r="AA42" s="9">
        <f>277842412205.16</f>
        <v>277842412205.15997</v>
      </c>
      <c r="AB42" s="14">
        <f>+AA42/Z42</f>
        <v>0.9978662016930443</v>
      </c>
      <c r="AC42" s="9">
        <f>455237088680</f>
        <v>455237088680</v>
      </c>
      <c r="AD42" s="9">
        <f>413688596773.13</f>
        <v>413688596773.13</v>
      </c>
      <c r="AE42" s="14">
        <f>+AD42/AC42</f>
        <v>0.90873219045631037</v>
      </c>
      <c r="AF42" s="9">
        <v>471855217587.28998</v>
      </c>
      <c r="AG42" s="9">
        <v>465085538819.97998</v>
      </c>
      <c r="AH42" s="14">
        <f>+AG42/AF42</f>
        <v>0.98565305942376769</v>
      </c>
      <c r="AI42" s="9">
        <v>483325655359</v>
      </c>
      <c r="AK42" s="38">
        <v>69767007019</v>
      </c>
    </row>
    <row r="43" spans="1:37" s="2" customFormat="1" x14ac:dyDescent="0.2">
      <c r="A43" s="9" t="s">
        <v>23</v>
      </c>
      <c r="B43" s="9">
        <v>256072394878.99762</v>
      </c>
      <c r="C43" s="9">
        <v>236742000857.18259</v>
      </c>
      <c r="D43" s="14">
        <f>+C43/B43</f>
        <v>0.92451199579341903</v>
      </c>
      <c r="E43" s="9">
        <v>351498286749.49951</v>
      </c>
      <c r="F43" s="9">
        <v>336092926015.01227</v>
      </c>
      <c r="G43" s="14">
        <f>+F43/E43</f>
        <v>0.95617230207023429</v>
      </c>
      <c r="H43" s="9">
        <v>364222209951.28101</v>
      </c>
      <c r="I43" s="9">
        <v>355349866391.65521</v>
      </c>
      <c r="J43" s="14">
        <f>+I43/H43</f>
        <v>0.97564030057142159</v>
      </c>
      <c r="K43" s="9">
        <v>410471802271.25201</v>
      </c>
      <c r="L43" s="9">
        <v>398120837514.9483</v>
      </c>
      <c r="M43" s="14">
        <f>+L43/K43</f>
        <v>0.96991032103067132</v>
      </c>
      <c r="N43" s="9">
        <f>(11246897475+256610939711)</f>
        <v>267857837186</v>
      </c>
      <c r="O43" s="9">
        <f>(10150670465.87+252565195620.47)</f>
        <v>262715866086.34</v>
      </c>
      <c r="P43" s="14">
        <f>+O43/N43</f>
        <v>0.98080335765539151</v>
      </c>
      <c r="Q43" s="9">
        <f>(8538336017+299593993758)</f>
        <v>308132329775</v>
      </c>
      <c r="R43" s="9">
        <f>(7744808982.58+296312381519.35)</f>
        <v>304057190501.92999</v>
      </c>
      <c r="S43" s="14">
        <f>+R43/Q43</f>
        <v>0.98677471047570475</v>
      </c>
      <c r="T43" s="9">
        <f>(9760000000+457026292371)</f>
        <v>466786292371</v>
      </c>
      <c r="U43" s="9">
        <f>(6210344343.07+457025292371)</f>
        <v>463235636714.07001</v>
      </c>
      <c r="V43" s="14">
        <f>+U43/T43</f>
        <v>0.99239340204508841</v>
      </c>
      <c r="W43" s="9">
        <f>(10669380000+1453414797551+6500000000)</f>
        <v>1470584177551</v>
      </c>
      <c r="X43" s="9">
        <f>(10518390293.06+1453414797551+6274638277.15)</f>
        <v>1470207826121.21</v>
      </c>
      <c r="Y43" s="14">
        <f>+X43/W43</f>
        <v>0.99974408032159245</v>
      </c>
      <c r="Z43" s="9">
        <f>(14681600000+1274636585049)</f>
        <v>1289318185049</v>
      </c>
      <c r="AA43" s="9">
        <f>(14447621040.45+1274636524449)</f>
        <v>1289084145489.45</v>
      </c>
      <c r="AB43" s="14">
        <f>+AA43/Z43</f>
        <v>0.99981847804346202</v>
      </c>
      <c r="AC43" s="9">
        <f>904277851127</f>
        <v>904277851127</v>
      </c>
      <c r="AD43" s="9">
        <f>904123359298.01</f>
        <v>904123359298.01001</v>
      </c>
      <c r="AE43" s="14">
        <f>+AD43/AC43</f>
        <v>0.99982915446972698</v>
      </c>
      <c r="AF43" s="9">
        <v>1073277935143</v>
      </c>
      <c r="AG43" s="9">
        <v>1036659970038.76</v>
      </c>
      <c r="AH43" s="14">
        <f>+AG43/AF43</f>
        <v>0.96588212250971028</v>
      </c>
      <c r="AI43" s="9">
        <f>(23628000000+1180302563455+800000000)</f>
        <v>1204730563455</v>
      </c>
      <c r="AK43" s="39">
        <f>SUM(AK39:AK42)</f>
        <v>2158467310742</v>
      </c>
    </row>
    <row r="44" spans="1:37" s="2" customForma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K44" s="38">
        <f>+AK43-AI40</f>
        <v>0</v>
      </c>
    </row>
    <row r="45" spans="1:37" s="2" customFormat="1" x14ac:dyDescent="0.2">
      <c r="A45" s="9" t="s">
        <v>12</v>
      </c>
      <c r="B45" s="7">
        <f>SUM(B46:B47)</f>
        <v>130057823636.04987</v>
      </c>
      <c r="C45" s="7">
        <f>SUM(C46:C47)</f>
        <v>124107964032.65088</v>
      </c>
      <c r="D45" s="6">
        <f>+C45/B45</f>
        <v>0.95425219769901037</v>
      </c>
      <c r="E45" s="7">
        <f>SUM(E46:E47)</f>
        <v>156462769451.00638</v>
      </c>
      <c r="F45" s="7">
        <f>SUM(F46:F47)</f>
        <v>153546563395.79639</v>
      </c>
      <c r="G45" s="6">
        <f>+F45/E45</f>
        <v>0.98136166152853921</v>
      </c>
      <c r="H45" s="7">
        <f>SUM(H46:H47)</f>
        <v>216788159843.80148</v>
      </c>
      <c r="I45" s="7">
        <f>SUM(I46:I47)</f>
        <v>212199135434.98737</v>
      </c>
      <c r="J45" s="6">
        <f>+I45/H45</f>
        <v>0.97883175717658855</v>
      </c>
      <c r="K45" s="7">
        <f>SUM(K46:K47)</f>
        <v>239173262778.94025</v>
      </c>
      <c r="L45" s="7">
        <f>SUM(L46:L47)</f>
        <v>238488383625.31561</v>
      </c>
      <c r="M45" s="6">
        <f>+L45/K45</f>
        <v>0.99713647275758555</v>
      </c>
      <c r="N45" s="7">
        <f>SUM(N46:N47)</f>
        <v>272483735195</v>
      </c>
      <c r="O45" s="7">
        <f>SUM(O46:O47)</f>
        <v>259886773566.26001</v>
      </c>
      <c r="P45" s="6">
        <f>+O45/N45</f>
        <v>0.95376985852118801</v>
      </c>
      <c r="Q45" s="7">
        <f>SUM(Q46:Q47)</f>
        <v>479603636349</v>
      </c>
      <c r="R45" s="7">
        <f>SUM(R46:R47)</f>
        <v>455730529792.97998</v>
      </c>
      <c r="S45" s="6">
        <f>+R45/Q45</f>
        <v>0.95022325781815398</v>
      </c>
      <c r="T45" s="7">
        <f>SUM(T46:T47)</f>
        <v>627493946071</v>
      </c>
      <c r="U45" s="7">
        <f>SUM(U46:U47)</f>
        <v>590657464040.83997</v>
      </c>
      <c r="V45" s="6">
        <f>+U45/T45</f>
        <v>0.94129587662031078</v>
      </c>
      <c r="W45" s="7">
        <f>SUM(W46:W47)</f>
        <v>805801456052</v>
      </c>
      <c r="X45" s="7">
        <f>SUM(X46:X47)</f>
        <v>803642312759.01001</v>
      </c>
      <c r="Y45" s="6">
        <f>+X45/W45</f>
        <v>0.99732050212025103</v>
      </c>
      <c r="Z45" s="7">
        <f>SUM(Z46:Z47)</f>
        <v>860277266094</v>
      </c>
      <c r="AA45" s="7">
        <f>SUM(AA46:AA47)</f>
        <v>858116213637.03992</v>
      </c>
      <c r="AB45" s="6">
        <f>+AA45/Z45</f>
        <v>0.99748795819425506</v>
      </c>
      <c r="AC45" s="7">
        <f>SUM(AC46:AC47)</f>
        <v>885412272776</v>
      </c>
      <c r="AD45" s="7">
        <f>SUM(AD46:AD47)</f>
        <v>884141985889.69006</v>
      </c>
      <c r="AE45" s="6">
        <f>+AD45/AC45</f>
        <v>0.99856531592641329</v>
      </c>
      <c r="AF45" s="7">
        <f>SUM(AF46:AF47)</f>
        <v>919605849850</v>
      </c>
      <c r="AG45" s="7">
        <f>SUM(AG46:AG47)</f>
        <v>917061890332.71997</v>
      </c>
      <c r="AH45" s="6">
        <f>+AG45/AF45</f>
        <v>0.99723364143704063</v>
      </c>
      <c r="AI45" s="7">
        <f>SUM(AI46:AI47)</f>
        <v>1014775717184</v>
      </c>
      <c r="AK45" s="34"/>
    </row>
    <row r="46" spans="1:37" s="2" customFormat="1" x14ac:dyDescent="0.2">
      <c r="A46" s="9" t="s">
        <v>0</v>
      </c>
      <c r="B46" s="9">
        <v>107515018701.75085</v>
      </c>
      <c r="C46" s="9">
        <v>104491789470.18475</v>
      </c>
      <c r="D46" s="14">
        <f>+C46/B46</f>
        <v>0.97188086587277067</v>
      </c>
      <c r="E46" s="9">
        <v>129993070874.74117</v>
      </c>
      <c r="F46" s="9">
        <v>129454174313.24217</v>
      </c>
      <c r="G46" s="14">
        <f>+F46/E46</f>
        <v>0.99585442087126119</v>
      </c>
      <c r="H46" s="9">
        <v>85520730446.857285</v>
      </c>
      <c r="I46" s="9">
        <v>84114113444.310577</v>
      </c>
      <c r="J46" s="14">
        <f>+I46/H46</f>
        <v>0.98355232707675733</v>
      </c>
      <c r="K46" s="9">
        <v>73893005825.279282</v>
      </c>
      <c r="L46" s="9">
        <v>73609572706.610611</v>
      </c>
      <c r="M46" s="14">
        <f>+L46/K46</f>
        <v>0.99616427677419361</v>
      </c>
      <c r="N46" s="9">
        <f>44177959927</f>
        <v>44177959927</v>
      </c>
      <c r="O46" s="9">
        <f>42710023282.79</f>
        <v>42710023282.790001</v>
      </c>
      <c r="P46" s="14">
        <f>+O46/N46</f>
        <v>0.96677219485382238</v>
      </c>
      <c r="Q46" s="9">
        <f>64010707545</f>
        <v>64010707545</v>
      </c>
      <c r="R46" s="9">
        <f>63007011326.8</f>
        <v>63007011326.800003</v>
      </c>
      <c r="S46" s="14">
        <f>+R46/Q46</f>
        <v>0.98431986996090626</v>
      </c>
      <c r="T46" s="9">
        <f>72754614051</f>
        <v>72754614051</v>
      </c>
      <c r="U46" s="9">
        <f>71934034634.59</f>
        <v>71934034634.589996</v>
      </c>
      <c r="V46" s="14">
        <f>+U46/T46</f>
        <v>0.98872127318502734</v>
      </c>
      <c r="W46" s="9">
        <f>49926645974</f>
        <v>49926645974</v>
      </c>
      <c r="X46" s="9">
        <f>49120492270.47</f>
        <v>49120492270.470001</v>
      </c>
      <c r="Y46" s="14">
        <f>+X46/W46</f>
        <v>0.98385323732842345</v>
      </c>
      <c r="Z46" s="9">
        <f>53866575000</f>
        <v>53866575000</v>
      </c>
      <c r="AA46" s="9">
        <f>52198861055.7</f>
        <v>52198861055.699997</v>
      </c>
      <c r="AB46" s="14">
        <f>+AA46/Z46</f>
        <v>0.96903991121952704</v>
      </c>
      <c r="AC46" s="9">
        <f>64933000000</f>
        <v>64933000000</v>
      </c>
      <c r="AD46" s="9">
        <f>63850351736.54</f>
        <v>63850351736.540001</v>
      </c>
      <c r="AE46" s="14">
        <f>+AD46/AC46</f>
        <v>0.98332668653134769</v>
      </c>
      <c r="AF46" s="9">
        <v>39465947950</v>
      </c>
      <c r="AG46" s="9">
        <v>37710665007.269997</v>
      </c>
      <c r="AH46" s="14">
        <f>+AG46/AF46</f>
        <v>0.95552411549942251</v>
      </c>
      <c r="AI46" s="9">
        <v>36373493681</v>
      </c>
      <c r="AK46" s="34"/>
    </row>
    <row r="47" spans="1:37" s="2" customFormat="1" x14ac:dyDescent="0.2">
      <c r="A47" s="9" t="s">
        <v>23</v>
      </c>
      <c r="B47" s="9">
        <v>22542804934.299004</v>
      </c>
      <c r="C47" s="9">
        <v>19616174562.466122</v>
      </c>
      <c r="D47" s="14">
        <f>+C47/B47</f>
        <v>0.87017452440534593</v>
      </c>
      <c r="E47" s="9">
        <v>26469698576.265205</v>
      </c>
      <c r="F47" s="9">
        <v>24092389082.554218</v>
      </c>
      <c r="G47" s="14">
        <f>+F47/E47</f>
        <v>0.91018751169903123</v>
      </c>
      <c r="H47" s="9">
        <v>131267429396.9442</v>
      </c>
      <c r="I47" s="9">
        <v>128085021990.6768</v>
      </c>
      <c r="J47" s="14">
        <f>+I47/H47</f>
        <v>0.97575630587962536</v>
      </c>
      <c r="K47" s="9">
        <v>165280256953.66098</v>
      </c>
      <c r="L47" s="9">
        <v>164878810918.70499</v>
      </c>
      <c r="M47" s="14">
        <f>+L47/K47</f>
        <v>0.99757111924705832</v>
      </c>
      <c r="N47" s="9">
        <f>228305775268</f>
        <v>228305775268</v>
      </c>
      <c r="O47" s="9">
        <f>217176750283.47</f>
        <v>217176750283.47</v>
      </c>
      <c r="P47" s="14">
        <f>+O47/N47</f>
        <v>0.95125386131180412</v>
      </c>
      <c r="Q47" s="9">
        <f>415592928804</f>
        <v>415592928804</v>
      </c>
      <c r="R47" s="9">
        <f>392723518466.18</f>
        <v>392723518466.17999</v>
      </c>
      <c r="S47" s="14">
        <f>+R47/Q47</f>
        <v>0.94497160862762042</v>
      </c>
      <c r="T47" s="9">
        <f>554739332020</f>
        <v>554739332020</v>
      </c>
      <c r="U47" s="9">
        <f>518723429406.25</f>
        <v>518723429406.25</v>
      </c>
      <c r="V47" s="14">
        <f>+U47/T47</f>
        <v>0.93507598878449183</v>
      </c>
      <c r="W47" s="9">
        <f>755874810078</f>
        <v>755874810078</v>
      </c>
      <c r="X47" s="9">
        <f>754521820488.54</f>
        <v>754521820488.54004</v>
      </c>
      <c r="Y47" s="14">
        <f>+X47/W47</f>
        <v>0.99821003482134785</v>
      </c>
      <c r="Z47" s="9">
        <f>806410691094</f>
        <v>806410691094</v>
      </c>
      <c r="AA47" s="9">
        <f>805917352581.34</f>
        <v>805917352581.33997</v>
      </c>
      <c r="AB47" s="14">
        <f>+AA47/Z47</f>
        <v>0.9993882292011893</v>
      </c>
      <c r="AC47" s="9">
        <f>820479272776</f>
        <v>820479272776</v>
      </c>
      <c r="AD47" s="9">
        <f>820291634153.15</f>
        <v>820291634153.15002</v>
      </c>
      <c r="AE47" s="14">
        <f>+AD47/AC47</f>
        <v>0.99977130607795228</v>
      </c>
      <c r="AF47" s="9">
        <v>880139901900</v>
      </c>
      <c r="AG47" s="9">
        <v>879351225325.44995</v>
      </c>
      <c r="AH47" s="14">
        <f>+AG47/AF47</f>
        <v>0.99910391907826535</v>
      </c>
      <c r="AI47" s="9">
        <f>978402223503</f>
        <v>978402223503</v>
      </c>
      <c r="AK47" s="34"/>
    </row>
    <row r="48" spans="1:37" s="2" customForma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K48" s="34"/>
    </row>
    <row r="49" spans="1:37" s="2" customFormat="1" x14ac:dyDescent="0.2">
      <c r="A49" s="9" t="s">
        <v>13</v>
      </c>
      <c r="B49" s="7">
        <f>SUM(B50:B51)</f>
        <v>86450824757.161804</v>
      </c>
      <c r="C49" s="7">
        <f>SUM(C50:C51)</f>
        <v>80559503886.789337</v>
      </c>
      <c r="D49" s="6">
        <f>+C49/B49</f>
        <v>0.93185350299524572</v>
      </c>
      <c r="E49" s="7">
        <f>SUM(E50:E51)</f>
        <v>88910994289.623169</v>
      </c>
      <c r="F49" s="7">
        <f>SUM(F50:F51)</f>
        <v>86948647249.764023</v>
      </c>
      <c r="G49" s="6">
        <f>+F49/E49</f>
        <v>0.97792908452393523</v>
      </c>
      <c r="H49" s="7">
        <f>SUM(H50:H51)</f>
        <v>91004178221.693573</v>
      </c>
      <c r="I49" s="7">
        <f>SUM(I50:I51)</f>
        <v>88228181102.709564</v>
      </c>
      <c r="J49" s="6">
        <f>+I49/H49</f>
        <v>0.96949593773352416</v>
      </c>
      <c r="K49" s="7">
        <f>SUM(K50:K51)</f>
        <v>272796612625.44547</v>
      </c>
      <c r="L49" s="7">
        <f>SUM(L50:L51)</f>
        <v>268789129336.64624</v>
      </c>
      <c r="M49" s="6">
        <f>+L49/K49</f>
        <v>0.98530962957996271</v>
      </c>
      <c r="N49" s="7">
        <f>SUM(N50:N51)</f>
        <v>191947536923.5</v>
      </c>
      <c r="O49" s="7">
        <f>SUM(O50:O51)</f>
        <v>191648310576.09</v>
      </c>
      <c r="P49" s="6">
        <f>+O49/N49</f>
        <v>0.9984411034795968</v>
      </c>
      <c r="Q49" s="7">
        <f>SUM(Q50:Q51)</f>
        <v>218255801847</v>
      </c>
      <c r="R49" s="7">
        <f>SUM(R50:R51)</f>
        <v>213917693718.69</v>
      </c>
      <c r="S49" s="6">
        <f>+R49/Q49</f>
        <v>0.9801237442872146</v>
      </c>
      <c r="T49" s="7">
        <f>SUM(T50:T51)</f>
        <v>278123552606</v>
      </c>
      <c r="U49" s="7">
        <f>SUM(U50:U51)</f>
        <v>273434454268</v>
      </c>
      <c r="V49" s="6">
        <f>+U49/T49</f>
        <v>0.98314023284233409</v>
      </c>
      <c r="W49" s="7">
        <f>SUM(W50:W51)</f>
        <v>13481529890</v>
      </c>
      <c r="X49" s="7">
        <f>SUM(X50:X51)</f>
        <v>13383682552</v>
      </c>
      <c r="Y49" s="6">
        <f>+X49/W49</f>
        <v>0.99274211912161547</v>
      </c>
      <c r="Z49" s="7">
        <f>SUM(Z50:Z51)</f>
        <v>13187605000</v>
      </c>
      <c r="AA49" s="7">
        <f>SUM(AA50:AA51)</f>
        <v>12818093615</v>
      </c>
      <c r="AB49" s="6">
        <f>+AA49/Z49</f>
        <v>0.97198040243091899</v>
      </c>
      <c r="AC49" s="7">
        <f>SUM(AC50:AC51)</f>
        <v>13448000000</v>
      </c>
      <c r="AD49" s="7">
        <f>SUM(AD50:AD51)</f>
        <v>13442987453</v>
      </c>
      <c r="AE49" s="6">
        <f>+AD49/AC49</f>
        <v>0.99962726450029749</v>
      </c>
      <c r="AF49" s="7">
        <f>SUM(AF50:AF51)</f>
        <v>16250373326</v>
      </c>
      <c r="AG49" s="7">
        <f>SUM(AG50:AG51)</f>
        <v>15566335925</v>
      </c>
      <c r="AH49" s="6">
        <f>+AG49/AF49</f>
        <v>0.95790635776314348</v>
      </c>
      <c r="AI49" s="7">
        <f>SUM(AI50:AI51)</f>
        <v>16120616967</v>
      </c>
      <c r="AK49" s="34"/>
    </row>
    <row r="50" spans="1:37" s="2" customFormat="1" x14ac:dyDescent="0.2">
      <c r="A50" s="9" t="s">
        <v>0</v>
      </c>
      <c r="B50" s="9">
        <v>60527653191.146141</v>
      </c>
      <c r="C50" s="9">
        <v>59328020287.576218</v>
      </c>
      <c r="D50" s="14">
        <f>+C50/B50</f>
        <v>0.9801804160524531</v>
      </c>
      <c r="E50" s="9">
        <v>66894526115.139626</v>
      </c>
      <c r="F50" s="9">
        <v>66894494626.826988</v>
      </c>
      <c r="G50" s="14">
        <f>+F50/E50</f>
        <v>0.99999952928416624</v>
      </c>
      <c r="H50" s="9">
        <v>61576242598.870857</v>
      </c>
      <c r="I50" s="9">
        <v>61505762441.527618</v>
      </c>
      <c r="J50" s="14">
        <f>+I50/H50</f>
        <v>0.99885540016135166</v>
      </c>
      <c r="K50" s="9">
        <v>16189880370.491056</v>
      </c>
      <c r="L50" s="9">
        <v>15884858373.981384</v>
      </c>
      <c r="M50" s="14">
        <f>+L50/K50</f>
        <v>0.98115971276318825</v>
      </c>
      <c r="N50" s="9">
        <f>6041515895</f>
        <v>6041515895</v>
      </c>
      <c r="O50" s="9">
        <f>5742289555.99</f>
        <v>5742289555.9899998</v>
      </c>
      <c r="P50" s="14">
        <f>+O50/N50</f>
        <v>0.95047164582358512</v>
      </c>
      <c r="Q50" s="9">
        <f>7884048964</f>
        <v>7884048964</v>
      </c>
      <c r="R50" s="9">
        <f>7836879488.69</f>
        <v>7836879488.6899996</v>
      </c>
      <c r="S50" s="14">
        <f>+R50/Q50</f>
        <v>0.99401710015686295</v>
      </c>
      <c r="T50" s="9">
        <f>12618689000</f>
        <v>12618689000</v>
      </c>
      <c r="U50" s="9">
        <f>12565207502</f>
        <v>12565207502</v>
      </c>
      <c r="V50" s="14">
        <f>+U50/T50</f>
        <v>0.99576172310768574</v>
      </c>
      <c r="W50" s="9">
        <f>13481529890</f>
        <v>13481529890</v>
      </c>
      <c r="X50" s="9">
        <f>13383682552</f>
        <v>13383682552</v>
      </c>
      <c r="Y50" s="14">
        <f>+X50/W50</f>
        <v>0.99274211912161547</v>
      </c>
      <c r="Z50" s="9">
        <f>13187605000</f>
        <v>13187605000</v>
      </c>
      <c r="AA50" s="9">
        <f>12818093615</f>
        <v>12818093615</v>
      </c>
      <c r="AB50" s="14">
        <f>+AA50/Z50</f>
        <v>0.97198040243091899</v>
      </c>
      <c r="AC50" s="9">
        <f>13448000000</f>
        <v>13448000000</v>
      </c>
      <c r="AD50" s="9">
        <f>13442987453</f>
        <v>13442987453</v>
      </c>
      <c r="AE50" s="14">
        <f>+AD50/AC50</f>
        <v>0.99962726450029749</v>
      </c>
      <c r="AF50" s="9">
        <v>16250373326</v>
      </c>
      <c r="AG50" s="9">
        <v>15566335925</v>
      </c>
      <c r="AH50" s="14">
        <f>+AG50/AF50</f>
        <v>0.95790635776314348</v>
      </c>
      <c r="AI50" s="9">
        <f>16120616967</f>
        <v>16120616967</v>
      </c>
      <c r="AK50" s="34"/>
    </row>
    <row r="51" spans="1:37" s="2" customFormat="1" x14ac:dyDescent="0.2">
      <c r="A51" s="9" t="s">
        <v>23</v>
      </c>
      <c r="B51" s="9">
        <v>25923171566.015656</v>
      </c>
      <c r="C51" s="9">
        <v>21231483599.21312</v>
      </c>
      <c r="D51" s="14">
        <f>+C51/B51</f>
        <v>0.8190156650063154</v>
      </c>
      <c r="E51" s="9">
        <v>22016468174.483547</v>
      </c>
      <c r="F51" s="9">
        <v>20054152622.937035</v>
      </c>
      <c r="G51" s="14">
        <f>+F51/E51</f>
        <v>0.91087055671259842</v>
      </c>
      <c r="H51" s="9">
        <v>29427935622.82272</v>
      </c>
      <c r="I51" s="9">
        <v>26722418661.181953</v>
      </c>
      <c r="J51" s="14">
        <f>+I51/H51</f>
        <v>0.90806297131007341</v>
      </c>
      <c r="K51" s="9">
        <v>256606732254.95441</v>
      </c>
      <c r="L51" s="9">
        <v>252904270962.66486</v>
      </c>
      <c r="M51" s="14">
        <f>+L51/K51</f>
        <v>0.9855714569148134</v>
      </c>
      <c r="N51" s="9">
        <f>185906021028.5</f>
        <v>185906021028.5</v>
      </c>
      <c r="O51" s="9">
        <f>185906021020.1</f>
        <v>185906021020.10001</v>
      </c>
      <c r="P51" s="14">
        <f>+O51/N51</f>
        <v>0.99999999995481592</v>
      </c>
      <c r="Q51" s="9">
        <f>210371752883</f>
        <v>210371752883</v>
      </c>
      <c r="R51" s="9">
        <f>206080814230</f>
        <v>206080814230</v>
      </c>
      <c r="S51" s="14">
        <f>+R51/Q51</f>
        <v>0.97960306650395956</v>
      </c>
      <c r="T51" s="9">
        <f>265504863606</f>
        <v>265504863606</v>
      </c>
      <c r="U51" s="9">
        <f>260869246766</f>
        <v>260869246766</v>
      </c>
      <c r="V51" s="14">
        <f>+U51/T51</f>
        <v>0.98254036940400802</v>
      </c>
      <c r="W51" s="9">
        <v>0</v>
      </c>
      <c r="X51" s="9">
        <v>0</v>
      </c>
      <c r="Y51" s="14">
        <v>0</v>
      </c>
      <c r="Z51" s="9">
        <v>0</v>
      </c>
      <c r="AA51" s="9">
        <v>0</v>
      </c>
      <c r="AB51" s="14">
        <v>0</v>
      </c>
      <c r="AC51" s="9">
        <v>0</v>
      </c>
      <c r="AD51" s="9">
        <v>0</v>
      </c>
      <c r="AE51" s="14">
        <v>0</v>
      </c>
      <c r="AF51" s="9">
        <v>0</v>
      </c>
      <c r="AG51" s="9">
        <v>0</v>
      </c>
      <c r="AH51" s="14">
        <v>0</v>
      </c>
      <c r="AI51" s="9">
        <v>0</v>
      </c>
      <c r="AK51" s="34"/>
    </row>
    <row r="52" spans="1:37" s="2" customForma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K52" s="34"/>
    </row>
    <row r="53" spans="1:37" s="2" customFormat="1" x14ac:dyDescent="0.2">
      <c r="A53" s="9" t="s">
        <v>14</v>
      </c>
      <c r="B53" s="7">
        <f>SUM(B54:B55)</f>
        <v>71115701603.131836</v>
      </c>
      <c r="C53" s="7">
        <f>SUM(C54:C55)</f>
        <v>62725913710.815964</v>
      </c>
      <c r="D53" s="6">
        <f>+C53/B53</f>
        <v>0.88202622341918369</v>
      </c>
      <c r="E53" s="7">
        <f>SUM(E54:E55)</f>
        <v>130870322581.91072</v>
      </c>
      <c r="F53" s="7">
        <f>SUM(F54:F55)</f>
        <v>127754153995.03036</v>
      </c>
      <c r="G53" s="6">
        <f>+F53/E53</f>
        <v>0.97618888281619409</v>
      </c>
      <c r="H53" s="7">
        <f>SUM(H54:H55)</f>
        <v>122547381292.30936</v>
      </c>
      <c r="I53" s="7">
        <f>SUM(I54:I55)</f>
        <v>121775799206.45355</v>
      </c>
      <c r="J53" s="6">
        <f>+I53/H53</f>
        <v>0.99370380600777286</v>
      </c>
      <c r="K53" s="7">
        <f>SUM(K54:K55)</f>
        <v>124866161904.121</v>
      </c>
      <c r="L53" s="7">
        <f>SUM(L54:L55)</f>
        <v>118519301682.03906</v>
      </c>
      <c r="M53" s="6">
        <f>+L53/K53</f>
        <v>0.94917069504422336</v>
      </c>
      <c r="N53" s="7">
        <f>SUM(N54:N55)</f>
        <v>105463113746</v>
      </c>
      <c r="O53" s="7">
        <f>SUM(O54:O55)</f>
        <v>102034037155.84</v>
      </c>
      <c r="P53" s="6">
        <f>+O53/N53</f>
        <v>0.96748553623763967</v>
      </c>
      <c r="Q53" s="7">
        <f>SUM(Q54:Q55)</f>
        <v>138360807841</v>
      </c>
      <c r="R53" s="7">
        <f>SUM(R54:R55)</f>
        <v>130621170889.95999</v>
      </c>
      <c r="S53" s="6">
        <f>+R53/Q53</f>
        <v>0.94406192713232662</v>
      </c>
      <c r="T53" s="7">
        <f>SUM(T54:T55)</f>
        <v>71008787895</v>
      </c>
      <c r="U53" s="7">
        <f>SUM(U54:U55)</f>
        <v>70365803204.740005</v>
      </c>
      <c r="V53" s="6">
        <f>+U53/T53</f>
        <v>0.99094499836821925</v>
      </c>
      <c r="W53" s="7">
        <f>SUM(W54:W55)</f>
        <v>35096098000</v>
      </c>
      <c r="X53" s="7">
        <f>SUM(X54:X55)</f>
        <v>22915892900.57</v>
      </c>
      <c r="Y53" s="6">
        <f>+X53/W53</f>
        <v>0.65294702848647157</v>
      </c>
      <c r="Z53" s="7">
        <f>SUM(Z54:Z55)</f>
        <v>57219931474</v>
      </c>
      <c r="AA53" s="7">
        <f>SUM(AA54:AA55)</f>
        <v>17477377745.509998</v>
      </c>
      <c r="AB53" s="6">
        <f>+AA53/Z53</f>
        <v>0.30544212995871017</v>
      </c>
      <c r="AC53" s="7">
        <f>SUM(AC54:AC55)</f>
        <v>31133582344</v>
      </c>
      <c r="AD53" s="7">
        <f>SUM(AD54:AD55)</f>
        <v>31109341049.200001</v>
      </c>
      <c r="AE53" s="6">
        <f>+AD53/AC53</f>
        <v>0.99922137791494237</v>
      </c>
      <c r="AF53" s="7">
        <f>SUM(AF54:AF55)</f>
        <v>18609847048</v>
      </c>
      <c r="AG53" s="7">
        <f>SUM(AG54:AG55)</f>
        <v>5058418794.1599998</v>
      </c>
      <c r="AH53" s="6">
        <f>+AG53/AF53</f>
        <v>0.27181409826275965</v>
      </c>
      <c r="AI53" s="7">
        <f>SUM(AI54:AI55)</f>
        <v>5735595960</v>
      </c>
      <c r="AK53" s="34"/>
    </row>
    <row r="54" spans="1:37" s="2" customFormat="1" x14ac:dyDescent="0.2">
      <c r="A54" s="9" t="s">
        <v>0</v>
      </c>
      <c r="B54" s="9">
        <v>42824120310.494957</v>
      </c>
      <c r="C54" s="9">
        <v>41710395262.861557</v>
      </c>
      <c r="D54" s="14">
        <f>+C54/B54</f>
        <v>0.97399304318317881</v>
      </c>
      <c r="E54" s="9">
        <v>45208610024.072662</v>
      </c>
      <c r="F54" s="9">
        <v>44821893388.758904</v>
      </c>
      <c r="G54" s="14">
        <f>+F54/E54</f>
        <v>0.991445951664786</v>
      </c>
      <c r="H54" s="9">
        <v>52292222711.483047</v>
      </c>
      <c r="I54" s="9">
        <v>51784179442.472885</v>
      </c>
      <c r="J54" s="14">
        <f>+I54/H54</f>
        <v>0.99028453481862422</v>
      </c>
      <c r="K54" s="9">
        <v>50377312209.757004</v>
      </c>
      <c r="L54" s="9">
        <v>49647586865.69677</v>
      </c>
      <c r="M54" s="14">
        <f>+L54/K54</f>
        <v>0.98551480196041696</v>
      </c>
      <c r="N54" s="9">
        <f>27861433619</f>
        <v>27861433619</v>
      </c>
      <c r="O54" s="9">
        <f>27497254311.57</f>
        <v>27497254311.57</v>
      </c>
      <c r="P54" s="14">
        <f>+O54/N54</f>
        <v>0.98692890996170246</v>
      </c>
      <c r="Q54" s="9">
        <f>23688151266</f>
        <v>23688151266</v>
      </c>
      <c r="R54" s="9">
        <f>22552009846.56</f>
        <v>22552009846.560001</v>
      </c>
      <c r="S54" s="14">
        <f>+R54/Q54</f>
        <v>0.95203756482800239</v>
      </c>
      <c r="T54" s="9">
        <f>9035198359</f>
        <v>9035198359</v>
      </c>
      <c r="U54" s="9">
        <f>8547869495.53</f>
        <v>8547869495.5299997</v>
      </c>
      <c r="V54" s="14">
        <f>+U54/T54</f>
        <v>0.94606329113023069</v>
      </c>
      <c r="W54" s="9">
        <f>7796098000</f>
        <v>7796098000</v>
      </c>
      <c r="X54" s="9">
        <f>7435920285.4</f>
        <v>7435920285.3999996</v>
      </c>
      <c r="Y54" s="14">
        <f>+X54/W54</f>
        <v>0.95380025820609227</v>
      </c>
      <c r="Z54" s="9">
        <f>7162970309</f>
        <v>7162970309</v>
      </c>
      <c r="AA54" s="9">
        <f>6767687095.8</f>
        <v>6767687095.8000002</v>
      </c>
      <c r="AB54" s="14">
        <f>+AA54/Z54</f>
        <v>0.94481574037751603</v>
      </c>
      <c r="AC54" s="9">
        <f>4804948545</f>
        <v>4804948545</v>
      </c>
      <c r="AD54" s="9">
        <f>4784778671.04</f>
        <v>4784778671.04</v>
      </c>
      <c r="AE54" s="14">
        <f>+AD54/AC54</f>
        <v>0.9958022705610472</v>
      </c>
      <c r="AF54" s="9">
        <v>5605847048</v>
      </c>
      <c r="AG54" s="9">
        <v>5057753459.1599998</v>
      </c>
      <c r="AH54" s="14">
        <f>+AG54/AF54</f>
        <v>0.90222822989158369</v>
      </c>
      <c r="AI54" s="9">
        <f>5735595960</f>
        <v>5735595960</v>
      </c>
      <c r="AK54" s="34"/>
    </row>
    <row r="55" spans="1:37" s="2" customFormat="1" x14ac:dyDescent="0.2">
      <c r="A55" s="9" t="s">
        <v>23</v>
      </c>
      <c r="B55" s="9">
        <v>28291581292.636879</v>
      </c>
      <c r="C55" s="9">
        <v>21015518447.954411</v>
      </c>
      <c r="D55" s="14">
        <f>+C55/B55</f>
        <v>0.74281879936572781</v>
      </c>
      <c r="E55" s="9">
        <v>85661712557.838058</v>
      </c>
      <c r="F55" s="9">
        <v>82932260606.271469</v>
      </c>
      <c r="G55" s="14">
        <f>+F55/E55</f>
        <v>0.96813685052439635</v>
      </c>
      <c r="H55" s="9">
        <v>70255158580.826309</v>
      </c>
      <c r="I55" s="9">
        <v>69991619763.980667</v>
      </c>
      <c r="J55" s="14">
        <f>+I55/H55</f>
        <v>0.99624883322208357</v>
      </c>
      <c r="K55" s="9">
        <v>74488849694.363998</v>
      </c>
      <c r="L55" s="9">
        <v>68871714816.342285</v>
      </c>
      <c r="M55" s="14">
        <f>+L55/K55</f>
        <v>0.9245909300375903</v>
      </c>
      <c r="N55" s="9">
        <f>77601680127</f>
        <v>77601680127</v>
      </c>
      <c r="O55" s="9">
        <f>74536782844.27</f>
        <v>74536782844.270004</v>
      </c>
      <c r="P55" s="14">
        <f>+O55/N55</f>
        <v>0.9605047561120571</v>
      </c>
      <c r="Q55" s="9">
        <f>114672656575</f>
        <v>114672656575</v>
      </c>
      <c r="R55" s="9">
        <f>108069161043.4</f>
        <v>108069161043.39999</v>
      </c>
      <c r="S55" s="14">
        <f>+R55/Q55</f>
        <v>0.94241438431069147</v>
      </c>
      <c r="T55" s="9">
        <f>61973589536</f>
        <v>61973589536</v>
      </c>
      <c r="U55" s="9">
        <f>61817933709.21</f>
        <v>61817933709.209999</v>
      </c>
      <c r="V55" s="14">
        <f>+U55/T55</f>
        <v>0.99748835224883037</v>
      </c>
      <c r="W55" s="9">
        <f>27300000000</f>
        <v>27300000000</v>
      </c>
      <c r="X55" s="9">
        <f>15479972615.17</f>
        <v>15479972615.17</v>
      </c>
      <c r="Y55" s="14">
        <f>+X55/W55</f>
        <v>0.56703196392564104</v>
      </c>
      <c r="Z55" s="9">
        <f>50056961165</f>
        <v>50056961165</v>
      </c>
      <c r="AA55" s="9">
        <f>10709690649.71</f>
        <v>10709690649.709999</v>
      </c>
      <c r="AB55" s="14">
        <f>+AA55/Z55</f>
        <v>0.21395007608249003</v>
      </c>
      <c r="AC55" s="9">
        <f>26328633799</f>
        <v>26328633799</v>
      </c>
      <c r="AD55" s="9">
        <f>26324562378.16</f>
        <v>26324562378.16</v>
      </c>
      <c r="AE55" s="14">
        <f>+AD55/AC55</f>
        <v>0.99984536148472103</v>
      </c>
      <c r="AF55" s="9">
        <v>13004000000</v>
      </c>
      <c r="AG55" s="9">
        <v>665335</v>
      </c>
      <c r="AH55" s="14">
        <f>+AG55/AF55</f>
        <v>5.1163872654567827E-5</v>
      </c>
      <c r="AI55" s="9">
        <v>0</v>
      </c>
      <c r="AK55" s="34"/>
    </row>
    <row r="56" spans="1:37" s="2" customFormat="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14">
        <f>+U55/R55-1</f>
        <v>-0.42797803635780751</v>
      </c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K56" s="34"/>
    </row>
    <row r="57" spans="1:37" s="2" customFormat="1" x14ac:dyDescent="0.2">
      <c r="A57" s="9" t="s">
        <v>15</v>
      </c>
      <c r="B57" s="7">
        <f>SUM(B58:B59)</f>
        <v>34746837732.473892</v>
      </c>
      <c r="C57" s="7">
        <f>SUM(C58:C59)</f>
        <v>34107705460.864845</v>
      </c>
      <c r="D57" s="6">
        <f>+C57/B57</f>
        <v>0.9816060305536316</v>
      </c>
      <c r="E57" s="7">
        <f>SUM(E58:E59)</f>
        <v>43725889651.29554</v>
      </c>
      <c r="F57" s="7">
        <f>SUM(F58:F59)</f>
        <v>42434772501.499809</v>
      </c>
      <c r="G57" s="6">
        <f>+F57/E57</f>
        <v>0.97047247843115125</v>
      </c>
      <c r="H57" s="7">
        <f>SUM(H58:H59)</f>
        <v>52156513200.327065</v>
      </c>
      <c r="I57" s="7">
        <f>SUM(I58:I59)</f>
        <v>50603835975.122559</v>
      </c>
      <c r="J57" s="6">
        <f>+I57/H57</f>
        <v>0.97023042511985313</v>
      </c>
      <c r="K57" s="7">
        <f>SUM(K58:K59)</f>
        <v>58537600487.963028</v>
      </c>
      <c r="L57" s="7">
        <f>SUM(L58:L59)</f>
        <v>57664346168.588814</v>
      </c>
      <c r="M57" s="6">
        <f>+L57/K57</f>
        <v>0.98508216407753546</v>
      </c>
      <c r="N57" s="7">
        <f>SUM(N58:N59)</f>
        <v>34094639282</v>
      </c>
      <c r="O57" s="7">
        <f>SUM(O58:O59)</f>
        <v>31140525915.16</v>
      </c>
      <c r="P57" s="6">
        <f>+O57/N57</f>
        <v>0.91335548845652104</v>
      </c>
      <c r="Q57" s="7">
        <f>SUM(Q58:Q59)</f>
        <v>33057332004</v>
      </c>
      <c r="R57" s="7">
        <f>SUM(R58:R59)</f>
        <v>29292600978.720001</v>
      </c>
      <c r="S57" s="6">
        <f>+R57/Q57</f>
        <v>0.88611509770889985</v>
      </c>
      <c r="T57" s="7">
        <f>SUM(T58:T59)</f>
        <v>29401876000</v>
      </c>
      <c r="U57" s="7">
        <f>SUM(U58:U59)</f>
        <v>29401875999.970001</v>
      </c>
      <c r="V57" s="6">
        <f>+U57/T57</f>
        <v>0.99999999999897971</v>
      </c>
      <c r="W57" s="7">
        <f>SUM(W58:W59)</f>
        <v>8360363000</v>
      </c>
      <c r="X57" s="7">
        <f>SUM(X58:X59)</f>
        <v>8353293159.7299995</v>
      </c>
      <c r="Y57" s="6">
        <f>+X57/W57</f>
        <v>0.99915436204504515</v>
      </c>
      <c r="Z57" s="7">
        <f>SUM(Z58:Z59)</f>
        <v>29667947300</v>
      </c>
      <c r="AA57" s="7">
        <f>SUM(AA58:AA59)</f>
        <v>28831444689.82</v>
      </c>
      <c r="AB57" s="6">
        <f>+AA57/Z57</f>
        <v>0.97180449992979456</v>
      </c>
      <c r="AC57" s="7">
        <f>SUM(AC58:AC59)</f>
        <v>13314648804</v>
      </c>
      <c r="AD57" s="7">
        <f>SUM(AD58:AD59)</f>
        <v>13137331549.120001</v>
      </c>
      <c r="AE57" s="6">
        <f>+AD57/AC57</f>
        <v>0.98668254360364882</v>
      </c>
      <c r="AF57" s="7">
        <f>SUM(AF58:AF59)</f>
        <v>10351180592</v>
      </c>
      <c r="AG57" s="7">
        <f>SUM(AG58:AG59)</f>
        <v>10291956040.959999</v>
      </c>
      <c r="AH57" s="6">
        <f>+AG57/AF57</f>
        <v>0.99427847379208389</v>
      </c>
      <c r="AI57" s="7">
        <f>SUM(AI58:AI59)</f>
        <v>9389527600</v>
      </c>
      <c r="AK57" s="34"/>
    </row>
    <row r="58" spans="1:37" s="2" customFormat="1" x14ac:dyDescent="0.2">
      <c r="A58" s="9" t="s">
        <v>0</v>
      </c>
      <c r="B58" s="9">
        <v>34746837732.473892</v>
      </c>
      <c r="C58" s="9">
        <v>34107705460.864845</v>
      </c>
      <c r="D58" s="14">
        <f>+C58/B58</f>
        <v>0.9816060305536316</v>
      </c>
      <c r="E58" s="9">
        <v>33347983883.99855</v>
      </c>
      <c r="F58" s="9">
        <v>33347948878.989761</v>
      </c>
      <c r="G58" s="14">
        <f>+F58/E58</f>
        <v>0.99999895031109198</v>
      </c>
      <c r="H58" s="9">
        <v>45684568833.000702</v>
      </c>
      <c r="I58" s="9">
        <v>44131891607.796196</v>
      </c>
      <c r="J58" s="14">
        <f>+I58/H58</f>
        <v>0.9660130922789204</v>
      </c>
      <c r="K58" s="9">
        <v>41542674711.906502</v>
      </c>
      <c r="L58" s="9">
        <v>41137977958.814529</v>
      </c>
      <c r="M58" s="14">
        <f>+L58/K58</f>
        <v>0.99025828847327491</v>
      </c>
      <c r="N58" s="9">
        <f>25186238962</f>
        <v>25186238962</v>
      </c>
      <c r="O58" s="9">
        <f>22232584515.16</f>
        <v>22232584515.16</v>
      </c>
      <c r="P58" s="14">
        <f>+O58/N58</f>
        <v>0.88272745083947002</v>
      </c>
      <c r="Q58" s="9">
        <f>30622589095</f>
        <v>30622589095</v>
      </c>
      <c r="R58" s="9">
        <f>26857858069.72</f>
        <v>26857858069.720001</v>
      </c>
      <c r="S58" s="14">
        <f>+R58/Q58</f>
        <v>0.87706032910539566</v>
      </c>
      <c r="T58" s="9">
        <f>11852446000</f>
        <v>11852446000</v>
      </c>
      <c r="U58" s="9">
        <f>11852445999.97</f>
        <v>11852445999.969999</v>
      </c>
      <c r="V58" s="14">
        <f>+U58/T58</f>
        <v>0.9999999999974688</v>
      </c>
      <c r="W58" s="9">
        <f>8360363000</f>
        <v>8360363000</v>
      </c>
      <c r="X58" s="9">
        <f>8353293159.73</f>
        <v>8353293159.7299995</v>
      </c>
      <c r="Y58" s="14">
        <f>+X58/W58</f>
        <v>0.99915436204504515</v>
      </c>
      <c r="Z58" s="9">
        <f>9667947300</f>
        <v>9667947300</v>
      </c>
      <c r="AA58" s="9">
        <f>8832044689.82</f>
        <v>8832044689.8199997</v>
      </c>
      <c r="AB58" s="14">
        <f>+AA58/Z58</f>
        <v>0.9135387705123299</v>
      </c>
      <c r="AC58" s="9">
        <f>13314648804</f>
        <v>13314648804</v>
      </c>
      <c r="AD58" s="9">
        <f>13137331549.12</f>
        <v>13137331549.120001</v>
      </c>
      <c r="AE58" s="14">
        <f>+AD58/AC58</f>
        <v>0.98668254360364882</v>
      </c>
      <c r="AF58" s="9">
        <f>10351180592</f>
        <v>10351180592</v>
      </c>
      <c r="AG58" s="9">
        <f>10291956040.96</f>
        <v>10291956040.959999</v>
      </c>
      <c r="AH58" s="14">
        <f>+AG58/AF58</f>
        <v>0.99427847379208389</v>
      </c>
      <c r="AI58" s="9">
        <f>9389527600</f>
        <v>9389527600</v>
      </c>
      <c r="AK58" s="34"/>
    </row>
    <row r="59" spans="1:37" s="2" customFormat="1" x14ac:dyDescent="0.2">
      <c r="A59" s="9" t="s">
        <v>23</v>
      </c>
      <c r="B59" s="9">
        <v>0</v>
      </c>
      <c r="C59" s="9">
        <v>0</v>
      </c>
      <c r="D59" s="14">
        <v>0</v>
      </c>
      <c r="E59" s="9">
        <v>10377905767.296991</v>
      </c>
      <c r="F59" s="9">
        <v>9086823622.510046</v>
      </c>
      <c r="G59" s="14">
        <f>+F59/E59</f>
        <v>0.87559319059771945</v>
      </c>
      <c r="H59" s="9">
        <v>6471944367.3263655</v>
      </c>
      <c r="I59" s="9">
        <v>6471944367.3263655</v>
      </c>
      <c r="J59" s="14">
        <f>+I59/H59</f>
        <v>1</v>
      </c>
      <c r="K59" s="9">
        <v>16994925776.056524</v>
      </c>
      <c r="L59" s="9">
        <v>16526368209.774284</v>
      </c>
      <c r="M59" s="14">
        <f>+L59/K59</f>
        <v>0.9724295608903234</v>
      </c>
      <c r="N59" s="9">
        <f>8908400320</f>
        <v>8908400320</v>
      </c>
      <c r="O59" s="9">
        <f>8907941400</f>
        <v>8907941400</v>
      </c>
      <c r="P59" s="14">
        <f>+O59/N59</f>
        <v>0.9999484845782054</v>
      </c>
      <c r="Q59" s="9">
        <f>2434742909</f>
        <v>2434742909</v>
      </c>
      <c r="R59" s="9">
        <f>2434742909</f>
        <v>2434742909</v>
      </c>
      <c r="S59" s="14">
        <v>0</v>
      </c>
      <c r="T59" s="9">
        <f>17549430000</f>
        <v>17549430000</v>
      </c>
      <c r="U59" s="9">
        <f>17549430000</f>
        <v>17549430000</v>
      </c>
      <c r="V59" s="14">
        <f>+U59/T59</f>
        <v>1</v>
      </c>
      <c r="W59" s="9">
        <v>0</v>
      </c>
      <c r="X59" s="9">
        <v>0</v>
      </c>
      <c r="Y59" s="14">
        <v>0</v>
      </c>
      <c r="Z59" s="9">
        <f>20000000000</f>
        <v>20000000000</v>
      </c>
      <c r="AA59" s="9">
        <f>19999400000</f>
        <v>19999400000</v>
      </c>
      <c r="AB59" s="14">
        <f>+AA59/Z59</f>
        <v>0.99997000000000003</v>
      </c>
      <c r="AC59" s="9">
        <v>0</v>
      </c>
      <c r="AD59" s="9">
        <v>0</v>
      </c>
      <c r="AE59" s="14">
        <v>0</v>
      </c>
      <c r="AF59" s="9">
        <v>0</v>
      </c>
      <c r="AG59" s="9">
        <v>0</v>
      </c>
      <c r="AH59" s="14">
        <v>0</v>
      </c>
      <c r="AI59" s="9">
        <v>0</v>
      </c>
      <c r="AK59" s="34"/>
    </row>
    <row r="60" spans="1:37" s="2" customForma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K60" s="34"/>
    </row>
    <row r="61" spans="1:37" s="2" customFormat="1" x14ac:dyDescent="0.2">
      <c r="A61" s="9" t="s">
        <v>16</v>
      </c>
      <c r="B61" s="7">
        <f>SUM(B62:B63)</f>
        <v>13070843672.032328</v>
      </c>
      <c r="C61" s="7">
        <f>SUM(C62:C63)</f>
        <v>11747963197.990147</v>
      </c>
      <c r="D61" s="6">
        <f>+C61/B61</f>
        <v>0.89879150059205837</v>
      </c>
      <c r="E61" s="7">
        <f>SUM(E62:E63)</f>
        <v>11889057296.439384</v>
      </c>
      <c r="F61" s="7">
        <f>SUM(F62:F63)</f>
        <v>11096880551.908255</v>
      </c>
      <c r="G61" s="6">
        <f>+F61/E61</f>
        <v>0.93336925504023127</v>
      </c>
      <c r="H61" s="7">
        <f>SUM(H62:H63)</f>
        <v>12588752389.593248</v>
      </c>
      <c r="I61" s="7">
        <f>SUM(I62:I63)</f>
        <v>12055032231.238033</v>
      </c>
      <c r="J61" s="6">
        <f>+I61/H61</f>
        <v>0.95760341121679171</v>
      </c>
      <c r="K61" s="7">
        <f>SUM(K62:K63)</f>
        <v>16869411560.255383</v>
      </c>
      <c r="L61" s="7">
        <f>SUM(L62:L63)</f>
        <v>16027148817.754478</v>
      </c>
      <c r="M61" s="6">
        <f>+L61/K61</f>
        <v>0.95007159914900119</v>
      </c>
      <c r="N61" s="7">
        <f>SUM(N62:N63)</f>
        <v>11905437655</v>
      </c>
      <c r="O61" s="7">
        <f>SUM(O62:O63)</f>
        <v>11092671086.68</v>
      </c>
      <c r="P61" s="6">
        <f>+O61/N61</f>
        <v>0.93173148338829381</v>
      </c>
      <c r="Q61" s="7">
        <f>SUM(Q62:Q63)</f>
        <v>13645539586</v>
      </c>
      <c r="R61" s="7">
        <f>SUM(R62:R63)</f>
        <v>11969866623.01</v>
      </c>
      <c r="S61" s="6">
        <f>+R61/Q61</f>
        <v>0.87719994856713468</v>
      </c>
      <c r="T61" s="7">
        <f>SUM(T62:T63)</f>
        <v>20127811855</v>
      </c>
      <c r="U61" s="7">
        <f>SUM(U62:U63)</f>
        <v>18027057837</v>
      </c>
      <c r="V61" s="6">
        <f>+U61/T61</f>
        <v>0.89562928980389156</v>
      </c>
      <c r="W61" s="7">
        <f>SUM(W62:W63)</f>
        <v>22703810388</v>
      </c>
      <c r="X61" s="7">
        <f>SUM(X62:X63)</f>
        <v>21223254567</v>
      </c>
      <c r="Y61" s="6">
        <f>+X61/W61</f>
        <v>0.93478822295914954</v>
      </c>
      <c r="Z61" s="7">
        <f>SUM(Z62:Z63)</f>
        <v>23180000000</v>
      </c>
      <c r="AA61" s="7">
        <f>SUM(AA62:AA63)</f>
        <v>22201727922</v>
      </c>
      <c r="AB61" s="6">
        <f>+AA61/Z61</f>
        <v>0.95779671794650556</v>
      </c>
      <c r="AC61" s="7">
        <f>SUM(AC62:AC63)</f>
        <v>20824465203</v>
      </c>
      <c r="AD61" s="7">
        <f>SUM(AD62:AD63)</f>
        <v>20130145652</v>
      </c>
      <c r="AE61" s="6">
        <f>+AD61/AC61</f>
        <v>0.96665846905398678</v>
      </c>
      <c r="AF61" s="7">
        <f>SUM(AF62:AF63)</f>
        <v>22596641846</v>
      </c>
      <c r="AG61" s="7">
        <f>SUM(AG62:AG63)</f>
        <v>20974740900</v>
      </c>
      <c r="AH61" s="6">
        <f>+AG61/AF61</f>
        <v>0.92822380612776301</v>
      </c>
      <c r="AI61" s="7">
        <f>SUM(AI62:AI63)</f>
        <v>39928837399</v>
      </c>
      <c r="AK61" s="34"/>
    </row>
    <row r="62" spans="1:37" s="2" customFormat="1" x14ac:dyDescent="0.2">
      <c r="A62" s="9" t="s">
        <v>0</v>
      </c>
      <c r="B62" s="9">
        <v>11538786120.103903</v>
      </c>
      <c r="C62" s="9">
        <v>10751357647.730619</v>
      </c>
      <c r="D62" s="14">
        <f>+C62/B62</f>
        <v>0.9317581187330134</v>
      </c>
      <c r="E62" s="9">
        <v>11101671262.134892</v>
      </c>
      <c r="F62" s="9">
        <v>10543213765.969727</v>
      </c>
      <c r="G62" s="14">
        <f>+F62/E62</f>
        <v>0.94969608782508919</v>
      </c>
      <c r="H62" s="9">
        <v>12292146636.112181</v>
      </c>
      <c r="I62" s="9">
        <v>11851342364.930731</v>
      </c>
      <c r="J62" s="14">
        <f>+I62/H62</f>
        <v>0.96413935789811978</v>
      </c>
      <c r="K62" s="9">
        <v>12821531316.909796</v>
      </c>
      <c r="L62" s="9">
        <v>12196302868.871567</v>
      </c>
      <c r="M62" s="14">
        <f>+L62/K62</f>
        <v>0.95123605499339692</v>
      </c>
      <c r="N62" s="9">
        <f>7984821869</f>
        <v>7984821869</v>
      </c>
      <c r="O62" s="9">
        <f>7238042892.68</f>
        <v>7238042892.6800003</v>
      </c>
      <c r="P62" s="14">
        <f>+O62/N62</f>
        <v>0.90647518647607295</v>
      </c>
      <c r="Q62" s="9">
        <f>9266700969</f>
        <v>9266700969</v>
      </c>
      <c r="R62" s="9">
        <f>8286969487.01</f>
        <v>8286969487.0100002</v>
      </c>
      <c r="S62" s="14">
        <f>+R62/Q62</f>
        <v>0.8942739724452633</v>
      </c>
      <c r="T62" s="9">
        <f>12070811855</f>
        <v>12070811855</v>
      </c>
      <c r="U62" s="9">
        <f>10744178447</f>
        <v>10744178447</v>
      </c>
      <c r="V62" s="14">
        <f>+U62/T62</f>
        <v>0.89009575959462262</v>
      </c>
      <c r="W62" s="9">
        <f>13621385000</f>
        <v>13621385000</v>
      </c>
      <c r="X62" s="9">
        <f>12504124960</f>
        <v>12504124960</v>
      </c>
      <c r="Y62" s="14">
        <f>+X62/W62</f>
        <v>0.91797750081948348</v>
      </c>
      <c r="Z62" s="9">
        <f>15243522168</f>
        <v>15243522168</v>
      </c>
      <c r="AA62" s="9">
        <f>14882873049</f>
        <v>14882873049</v>
      </c>
      <c r="AB62" s="14">
        <f>+AA62/Z62</f>
        <v>0.97634082759710916</v>
      </c>
      <c r="AC62" s="9">
        <f>16365445109</f>
        <v>16365445109</v>
      </c>
      <c r="AD62" s="9">
        <f>16047316646</f>
        <v>16047316646</v>
      </c>
      <c r="AE62" s="14">
        <f>+AD62/AC62</f>
        <v>0.98056096483284472</v>
      </c>
      <c r="AF62" s="9">
        <f>15996641846</f>
        <v>15996641846</v>
      </c>
      <c r="AG62" s="9">
        <v>15816620408</v>
      </c>
      <c r="AH62" s="14">
        <f>+AG62/AF62</f>
        <v>0.98874629814600656</v>
      </c>
      <c r="AI62" s="9">
        <f>16043755209</f>
        <v>16043755209</v>
      </c>
      <c r="AK62" s="34"/>
    </row>
    <row r="63" spans="1:37" s="2" customFormat="1" x14ac:dyDescent="0.2">
      <c r="A63" s="9" t="s">
        <v>23</v>
      </c>
      <c r="B63" s="9">
        <v>1532057551.9284248</v>
      </c>
      <c r="C63" s="9">
        <v>996605550.25952661</v>
      </c>
      <c r="D63" s="14">
        <f>+C63/B63</f>
        <v>0.65050137901483118</v>
      </c>
      <c r="E63" s="9">
        <v>787386034.30449307</v>
      </c>
      <c r="F63" s="9">
        <v>553666785.93852782</v>
      </c>
      <c r="G63" s="14">
        <f>+F63/E63</f>
        <v>0.7031706962234705</v>
      </c>
      <c r="H63" s="9">
        <v>296605753.4810676</v>
      </c>
      <c r="I63" s="9">
        <v>203689866.30730221</v>
      </c>
      <c r="J63" s="14">
        <f>+I63/H63</f>
        <v>0.68673605928653625</v>
      </c>
      <c r="K63" s="9">
        <v>4047880243.3455858</v>
      </c>
      <c r="L63" s="9">
        <v>3830845948.8829117</v>
      </c>
      <c r="M63" s="14">
        <f>+L63/K63</f>
        <v>0.94638322247317908</v>
      </c>
      <c r="N63" s="9">
        <f>3920615786</f>
        <v>3920615786</v>
      </c>
      <c r="O63" s="9">
        <f>3854628194</f>
        <v>3854628194</v>
      </c>
      <c r="P63" s="14">
        <f>+O63/N63</f>
        <v>0.98316907455312685</v>
      </c>
      <c r="Q63" s="9">
        <f>4378838617</f>
        <v>4378838617</v>
      </c>
      <c r="R63" s="9">
        <f>3682897136</f>
        <v>3682897136</v>
      </c>
      <c r="S63" s="14">
        <f>+R63/Q63</f>
        <v>0.84106710891373326</v>
      </c>
      <c r="T63" s="9">
        <f>8057000000</f>
        <v>8057000000</v>
      </c>
      <c r="U63" s="9">
        <f>7282879390</f>
        <v>7282879390</v>
      </c>
      <c r="V63" s="14">
        <f>+U63/T63</f>
        <v>0.903919497331513</v>
      </c>
      <c r="W63" s="9">
        <f>9082425388</f>
        <v>9082425388</v>
      </c>
      <c r="X63" s="9">
        <f>8719129607</f>
        <v>8719129607</v>
      </c>
      <c r="Y63" s="14">
        <f>+X63/W63</f>
        <v>0.96000013592404532</v>
      </c>
      <c r="Z63" s="9">
        <f>7936477832</f>
        <v>7936477832</v>
      </c>
      <c r="AA63" s="9">
        <f>7318854873</f>
        <v>7318854873</v>
      </c>
      <c r="AB63" s="14">
        <f>+AA63/Z63</f>
        <v>0.92217921197867714</v>
      </c>
      <c r="AC63" s="9">
        <f>4459020094</f>
        <v>4459020094</v>
      </c>
      <c r="AD63" s="9">
        <f>4082829006</f>
        <v>4082829006</v>
      </c>
      <c r="AE63" s="14">
        <f>+AD63/AC63</f>
        <v>0.91563368631009356</v>
      </c>
      <c r="AF63" s="9">
        <f>6600000000</f>
        <v>6600000000</v>
      </c>
      <c r="AG63" s="9">
        <v>5158120492</v>
      </c>
      <c r="AH63" s="14">
        <f>+AG63/AF63</f>
        <v>0.78153340787878789</v>
      </c>
      <c r="AI63" s="9">
        <f>23885082190</f>
        <v>23885082190</v>
      </c>
      <c r="AK63" s="34"/>
    </row>
    <row r="64" spans="1:37" s="2" customForma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K64" s="34"/>
    </row>
    <row r="65" spans="1:37" s="2" customFormat="1" x14ac:dyDescent="0.2">
      <c r="A65" s="9" t="s">
        <v>17</v>
      </c>
      <c r="B65" s="7">
        <f>SUM(B66:B67)</f>
        <v>48399461802.165062</v>
      </c>
      <c r="C65" s="7">
        <f>SUM(C66:C67)</f>
        <v>30897671483.092274</v>
      </c>
      <c r="D65" s="6">
        <f>+C65/B65</f>
        <v>0.6383887409613741</v>
      </c>
      <c r="E65" s="7">
        <f>SUM(E66:E67)</f>
        <v>63776705808.178223</v>
      </c>
      <c r="F65" s="7">
        <f>SUM(F66:F67)</f>
        <v>61687776078.313004</v>
      </c>
      <c r="G65" s="6">
        <f>+F65/E65</f>
        <v>0.96724619587364524</v>
      </c>
      <c r="H65" s="7">
        <f>SUM(H66:H67)</f>
        <v>80165729163.618317</v>
      </c>
      <c r="I65" s="7">
        <f>SUM(I66:I67)</f>
        <v>77381490559.652878</v>
      </c>
      <c r="J65" s="6">
        <f>+I65/H65</f>
        <v>0.96526896676405438</v>
      </c>
      <c r="K65" s="7">
        <f>SUM(K66:K67)</f>
        <v>85393600181.004532</v>
      </c>
      <c r="L65" s="7">
        <f>SUM(L66:L67)</f>
        <v>82336718027.820282</v>
      </c>
      <c r="M65" s="6">
        <f>+L65/K65</f>
        <v>0.96420244436696978</v>
      </c>
      <c r="N65" s="7">
        <f>SUM(N66:N67)</f>
        <v>52597523487</v>
      </c>
      <c r="O65" s="7">
        <f>SUM(O66:O67)</f>
        <v>50354174552.790001</v>
      </c>
      <c r="P65" s="6">
        <f>+O65/N65</f>
        <v>0.95734877261351548</v>
      </c>
      <c r="Q65" s="7">
        <f>SUM(Q66:Q67)</f>
        <v>71043342995</v>
      </c>
      <c r="R65" s="7">
        <f>SUM(R66:R67)</f>
        <v>69435320496.73999</v>
      </c>
      <c r="S65" s="6">
        <f>+R65/Q65</f>
        <v>0.97736561329365956</v>
      </c>
      <c r="T65" s="7">
        <f>SUM(T66:T67)</f>
        <v>87809388000</v>
      </c>
      <c r="U65" s="7">
        <f>SUM(U66:U67)</f>
        <v>87111459459.860001</v>
      </c>
      <c r="V65" s="6">
        <f>+U65/T65</f>
        <v>0.99205177765115504</v>
      </c>
      <c r="W65" s="7">
        <f>SUM(W66:W67)</f>
        <v>105104116010</v>
      </c>
      <c r="X65" s="7">
        <f>SUM(X66:X67)</f>
        <v>104968180860.19</v>
      </c>
      <c r="Y65" s="6">
        <f>+X65/W65</f>
        <v>0.99870666197509272</v>
      </c>
      <c r="Z65" s="7">
        <f>SUM(Z66:Z67)</f>
        <v>115860122713</v>
      </c>
      <c r="AA65" s="7">
        <f>SUM(AA66:AA67)</f>
        <v>114921773616.37</v>
      </c>
      <c r="AB65" s="6">
        <f>+AA65/Z65</f>
        <v>0.99190101758346649</v>
      </c>
      <c r="AC65" s="7">
        <f>SUM(AC66:AC67)</f>
        <v>120305402805</v>
      </c>
      <c r="AD65" s="7">
        <f>SUM(AD66:AD67)</f>
        <v>120264837577.64999</v>
      </c>
      <c r="AE65" s="6">
        <f>+AD65/AC65</f>
        <v>0.99966281458351658</v>
      </c>
      <c r="AF65" s="7">
        <f>SUM(AF66:AF67)</f>
        <v>121226906511</v>
      </c>
      <c r="AG65" s="7">
        <f>SUM(AG66:AG67)</f>
        <v>120963144658.8</v>
      </c>
      <c r="AH65" s="6">
        <f>+AG65/AF65</f>
        <v>0.99782423011696608</v>
      </c>
      <c r="AI65" s="7">
        <f>SUM(AI66:AI67)</f>
        <v>150587727804</v>
      </c>
      <c r="AK65" s="34"/>
    </row>
    <row r="66" spans="1:37" s="2" customFormat="1" x14ac:dyDescent="0.2">
      <c r="A66" s="9" t="s">
        <v>0</v>
      </c>
      <c r="B66" s="9">
        <v>38914043012.704788</v>
      </c>
      <c r="C66" s="9">
        <v>25597638394.109013</v>
      </c>
      <c r="D66" s="14">
        <f>+C66/B66</f>
        <v>0.65779950918365926</v>
      </c>
      <c r="E66" s="9">
        <v>40151958403.464333</v>
      </c>
      <c r="F66" s="9">
        <v>38908968673.028572</v>
      </c>
      <c r="G66" s="14">
        <f>+F66/E66</f>
        <v>0.96904286167200959</v>
      </c>
      <c r="H66" s="9">
        <v>37630384299.871788</v>
      </c>
      <c r="I66" s="9">
        <v>37392681676.679588</v>
      </c>
      <c r="J66" s="14">
        <f>+I66/H66</f>
        <v>0.9936832262647658</v>
      </c>
      <c r="K66" s="9">
        <v>25437998680.071182</v>
      </c>
      <c r="L66" s="9">
        <v>24324199440.722557</v>
      </c>
      <c r="M66" s="14">
        <f>+L66/K66</f>
        <v>0.9562151388811414</v>
      </c>
      <c r="N66" s="9">
        <f>6889067432</f>
        <v>6889067432</v>
      </c>
      <c r="O66" s="9">
        <f>5695777922.79</f>
        <v>5695777922.79</v>
      </c>
      <c r="P66" s="14">
        <f>+O66/N66</f>
        <v>0.82678504442167</v>
      </c>
      <c r="Q66" s="9">
        <f>7466539665</f>
        <v>7466539665</v>
      </c>
      <c r="R66" s="9">
        <f>6671686695.68</f>
        <v>6671686695.6800003</v>
      </c>
      <c r="S66" s="14">
        <f>+R66/Q66</f>
        <v>0.89354466660829024</v>
      </c>
      <c r="T66" s="9">
        <f>9629651000</f>
        <v>9629651000</v>
      </c>
      <c r="U66" s="9">
        <f>9509421369.58</f>
        <v>9509421369.5799999</v>
      </c>
      <c r="V66" s="14">
        <f>+U66/T66</f>
        <v>0.9875146430104268</v>
      </c>
      <c r="W66" s="9">
        <f>7147557510</f>
        <v>7147557510</v>
      </c>
      <c r="X66" s="9">
        <f>7023841700</f>
        <v>7023841700</v>
      </c>
      <c r="Y66" s="14">
        <f>+X66/W66</f>
        <v>0.98269117669540795</v>
      </c>
      <c r="Z66" s="9">
        <f>7525004200</f>
        <v>7525004200</v>
      </c>
      <c r="AA66" s="9">
        <f>7419990929.81</f>
        <v>7419990929.8100004</v>
      </c>
      <c r="AB66" s="14">
        <f>+AA66/Z66</f>
        <v>0.98604475593648178</v>
      </c>
      <c r="AC66" s="9">
        <f>5998516805</f>
        <v>5998516805</v>
      </c>
      <c r="AD66" s="9">
        <f>5968838043.09</f>
        <v>5968838043.0900002</v>
      </c>
      <c r="AE66" s="14">
        <f>+AD66/AC66</f>
        <v>0.99505231661845783</v>
      </c>
      <c r="AF66" s="9">
        <v>5139338198</v>
      </c>
      <c r="AG66" s="9">
        <v>4956708443.8000002</v>
      </c>
      <c r="AH66" s="14">
        <f>+AG66/AF66</f>
        <v>0.9644643440139683</v>
      </c>
      <c r="AI66" s="9">
        <f>4510842679</f>
        <v>4510842679</v>
      </c>
      <c r="AK66" s="34"/>
    </row>
    <row r="67" spans="1:37" s="2" customFormat="1" x14ac:dyDescent="0.2">
      <c r="A67" s="9" t="s">
        <v>23</v>
      </c>
      <c r="B67" s="9">
        <v>9485418789.4602718</v>
      </c>
      <c r="C67" s="9">
        <v>5300033088.9832621</v>
      </c>
      <c r="D67" s="14">
        <f>+C67/B67</f>
        <v>0.55875583425714392</v>
      </c>
      <c r="E67" s="9">
        <v>23624747404.713894</v>
      </c>
      <c r="F67" s="9">
        <v>22778807405.284428</v>
      </c>
      <c r="G67" s="14">
        <f>+F67/E67</f>
        <v>0.96419263304966918</v>
      </c>
      <c r="H67" s="9">
        <v>42535344863.746521</v>
      </c>
      <c r="I67" s="9">
        <v>39988808882.973289</v>
      </c>
      <c r="J67" s="14">
        <f>+I67/H67</f>
        <v>0.9401312957745952</v>
      </c>
      <c r="K67" s="9">
        <v>59955601500.93335</v>
      </c>
      <c r="L67" s="9">
        <v>58012518587.097717</v>
      </c>
      <c r="M67" s="14">
        <f>+L67/K67</f>
        <v>0.96759130314445463</v>
      </c>
      <c r="N67" s="9">
        <f>45708456055</f>
        <v>45708456055</v>
      </c>
      <c r="O67" s="9">
        <f>44658396630</f>
        <v>44658396630</v>
      </c>
      <c r="P67" s="14">
        <f>+O67/N67</f>
        <v>0.97702702047655066</v>
      </c>
      <c r="Q67" s="9">
        <f>63576803330</f>
        <v>63576803330</v>
      </c>
      <c r="R67" s="9">
        <f>62763633801.06</f>
        <v>62763633801.059998</v>
      </c>
      <c r="S67" s="14">
        <f>+R67/Q67</f>
        <v>0.98720965059033894</v>
      </c>
      <c r="T67" s="9">
        <f>78179737000</f>
        <v>78179737000</v>
      </c>
      <c r="U67" s="9">
        <f>77602038090.28</f>
        <v>77602038090.279999</v>
      </c>
      <c r="V67" s="14">
        <f>+U67/T67</f>
        <v>0.99261063119565107</v>
      </c>
      <c r="W67" s="9">
        <f>97956558500</f>
        <v>97956558500</v>
      </c>
      <c r="X67" s="9">
        <f>97944339160.19</f>
        <v>97944339160.190002</v>
      </c>
      <c r="Y67" s="14">
        <f>+X67/W67</f>
        <v>0.99987525756317785</v>
      </c>
      <c r="Z67" s="9">
        <f>108335118513</f>
        <v>108335118513</v>
      </c>
      <c r="AA67" s="9">
        <f>107501782686.56</f>
        <v>107501782686.56</v>
      </c>
      <c r="AB67" s="14">
        <f>+AA67/Z67</f>
        <v>0.99230779605100994</v>
      </c>
      <c r="AC67" s="9">
        <f>114306886000</f>
        <v>114306886000</v>
      </c>
      <c r="AD67" s="9">
        <f>114295999534.56</f>
        <v>114295999534.56</v>
      </c>
      <c r="AE67" s="14">
        <f>+AD67/AC67</f>
        <v>0.99990476107064974</v>
      </c>
      <c r="AF67" s="9">
        <v>116087568313</v>
      </c>
      <c r="AG67" s="9">
        <v>116006436215</v>
      </c>
      <c r="AH67" s="14">
        <f>+AG67/AF67</f>
        <v>0.9993011129513778</v>
      </c>
      <c r="AI67" s="9">
        <f>146076885125</f>
        <v>146076885125</v>
      </c>
      <c r="AK67" s="34"/>
    </row>
    <row r="68" spans="1:37" s="2" customFormat="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K68" s="34"/>
    </row>
    <row r="69" spans="1:37" s="2" customFormat="1" x14ac:dyDescent="0.2">
      <c r="A69" s="9" t="s">
        <v>18</v>
      </c>
      <c r="B69" s="7">
        <f>SUM(B70:B71)</f>
        <v>8347532813.2863159</v>
      </c>
      <c r="C69" s="7">
        <f>SUM(C70:C71)</f>
        <v>8043348110.2900457</v>
      </c>
      <c r="D69" s="6">
        <f>+C69/B69</f>
        <v>0.96355992725034689</v>
      </c>
      <c r="E69" s="7">
        <f>SUM(E70:E71)</f>
        <v>14549508094.778473</v>
      </c>
      <c r="F69" s="7">
        <f>SUM(F70:F71)</f>
        <v>14528438857.557594</v>
      </c>
      <c r="G69" s="6">
        <f>+F69/E69</f>
        <v>0.99855189350157891</v>
      </c>
      <c r="H69" s="7">
        <f>SUM(H70:H71)</f>
        <v>25836589514.59811</v>
      </c>
      <c r="I69" s="7">
        <f>SUM(I70:I71)</f>
        <v>25575296351.205421</v>
      </c>
      <c r="J69" s="6">
        <f>+I69/H69</f>
        <v>0.98988670067134621</v>
      </c>
      <c r="K69" s="7">
        <f>SUM(K70:K71)</f>
        <v>14077452167.312151</v>
      </c>
      <c r="L69" s="7">
        <f>SUM(L70:L71)</f>
        <v>10888414559.242287</v>
      </c>
      <c r="M69" s="6">
        <f>+L69/K69</f>
        <v>0.77346485925380659</v>
      </c>
      <c r="N69" s="7">
        <f>SUM(N70:N71)</f>
        <v>10152980154</v>
      </c>
      <c r="O69" s="7">
        <f>SUM(O70:O71)</f>
        <v>8607830055.2199993</v>
      </c>
      <c r="P69" s="6">
        <f>+O69/N69</f>
        <v>0.84781314694373222</v>
      </c>
      <c r="Q69" s="7">
        <f>SUM(Q70:Q71)</f>
        <v>8598771993</v>
      </c>
      <c r="R69" s="7">
        <f>SUM(R70:R71)</f>
        <v>7923187970.5</v>
      </c>
      <c r="S69" s="6">
        <f>+R69/Q69</f>
        <v>0.92143249954179829</v>
      </c>
      <c r="T69" s="7">
        <f>SUM(T70:T71)</f>
        <v>9902458000</v>
      </c>
      <c r="U69" s="7">
        <f>SUM(U70:U71)</f>
        <v>9692111441</v>
      </c>
      <c r="V69" s="6">
        <f>+U69/T69</f>
        <v>0.97875814681566942</v>
      </c>
      <c r="W69" s="7">
        <f>SUM(W70:W71)</f>
        <v>24952184092</v>
      </c>
      <c r="X69" s="7">
        <f>SUM(X70:X71)</f>
        <v>24709260078</v>
      </c>
      <c r="Y69" s="6">
        <f>+X69/W69</f>
        <v>0.99026441881382699</v>
      </c>
      <c r="Z69" s="7">
        <f>SUM(Z70:Z71)</f>
        <v>20462064862</v>
      </c>
      <c r="AA69" s="7">
        <f>SUM(AA70:AA71)</f>
        <v>20287995981</v>
      </c>
      <c r="AB69" s="6">
        <f>+AA69/Z69</f>
        <v>0.99149309308840761</v>
      </c>
      <c r="AC69" s="7">
        <f>SUM(AC70:AC71)</f>
        <v>10312420000</v>
      </c>
      <c r="AD69" s="7">
        <f>SUM(AD70:AD71)</f>
        <v>9446475495</v>
      </c>
      <c r="AE69" s="6">
        <f>+AD69/AC69</f>
        <v>0.91602897234596725</v>
      </c>
      <c r="AF69" s="7">
        <f>SUM(AF70:AF71)</f>
        <v>12032379901</v>
      </c>
      <c r="AG69" s="7">
        <f>SUM(AG70:AG71)</f>
        <v>11655343018</v>
      </c>
      <c r="AH69" s="6">
        <f>+AG69/AF69</f>
        <v>0.96866481227303458</v>
      </c>
      <c r="AI69" s="7">
        <f>SUM(AI70:AI71)</f>
        <v>7203619166</v>
      </c>
      <c r="AK69" s="34"/>
    </row>
    <row r="70" spans="1:37" s="2" customFormat="1" x14ac:dyDescent="0.2">
      <c r="A70" s="9" t="s">
        <v>0</v>
      </c>
      <c r="B70" s="9">
        <v>8162012632.575736</v>
      </c>
      <c r="C70" s="9">
        <v>7891527997.7747812</v>
      </c>
      <c r="D70" s="14">
        <f>+C70/B70</f>
        <v>0.96686054690464296</v>
      </c>
      <c r="E70" s="9">
        <v>7855931512.8044443</v>
      </c>
      <c r="F70" s="9">
        <v>7851136641.1172113</v>
      </c>
      <c r="G70" s="14">
        <f>+F70/E70</f>
        <v>0.99938964950503739</v>
      </c>
      <c r="H70" s="9">
        <v>8905701666.7227745</v>
      </c>
      <c r="I70" s="9">
        <v>8644420850.8671818</v>
      </c>
      <c r="J70" s="14">
        <f>+I70/H70</f>
        <v>0.97066140034401782</v>
      </c>
      <c r="K70" s="9">
        <v>8913719222.2153988</v>
      </c>
      <c r="L70" s="9">
        <v>8573221340.0151196</v>
      </c>
      <c r="M70" s="14">
        <f>+L70/K70</f>
        <v>0.96180069466944096</v>
      </c>
      <c r="N70" s="9">
        <f>4588080865</f>
        <v>4588080865</v>
      </c>
      <c r="O70" s="9">
        <f>3158348556.93</f>
        <v>3158348556.9299998</v>
      </c>
      <c r="P70" s="14">
        <f>+O70/N70</f>
        <v>0.68838118809616922</v>
      </c>
      <c r="Q70" s="9">
        <f>3383771993</f>
        <v>3383771993</v>
      </c>
      <c r="R70" s="9">
        <f>2757682885.5</f>
        <v>2757682885.5</v>
      </c>
      <c r="S70" s="14">
        <f>+R70/Q70</f>
        <v>0.81497302158798268</v>
      </c>
      <c r="T70" s="9">
        <f>3859458000</f>
        <v>3859458000</v>
      </c>
      <c r="U70" s="9">
        <f>3693413861</f>
        <v>3693413861</v>
      </c>
      <c r="V70" s="14">
        <f>+U70/T70</f>
        <v>0.95697734267350498</v>
      </c>
      <c r="W70" s="9">
        <f>4690934092</f>
        <v>4690934092</v>
      </c>
      <c r="X70" s="9">
        <f>4608411011</f>
        <v>4608411011</v>
      </c>
      <c r="Y70" s="14">
        <f>+X70/W70</f>
        <v>0.98240796408955389</v>
      </c>
      <c r="Z70" s="9">
        <f>5460064862</f>
        <v>5460064862</v>
      </c>
      <c r="AA70" s="9">
        <f>5354147455</f>
        <v>5354147455</v>
      </c>
      <c r="AB70" s="14">
        <f>+AA70/Z70</f>
        <v>0.98060143795412669</v>
      </c>
      <c r="AC70" s="9">
        <f>5079000000</f>
        <v>5079000000</v>
      </c>
      <c r="AD70" s="9">
        <f>4831739039</f>
        <v>4831739039</v>
      </c>
      <c r="AE70" s="14">
        <f>+AD70/AC70</f>
        <v>0.95131699921244339</v>
      </c>
      <c r="AF70" s="9">
        <v>4378527990</v>
      </c>
      <c r="AG70" s="9">
        <v>4182872276</v>
      </c>
      <c r="AH70" s="14">
        <f>+AG70/AF70</f>
        <v>0.95531472804402473</v>
      </c>
      <c r="AI70" s="9">
        <f>4425695078</f>
        <v>4425695078</v>
      </c>
      <c r="AK70" s="34"/>
    </row>
    <row r="71" spans="1:37" s="2" customFormat="1" x14ac:dyDescent="0.2">
      <c r="A71" s="9" t="s">
        <v>23</v>
      </c>
      <c r="B71" s="9">
        <v>185520180.71058023</v>
      </c>
      <c r="C71" s="9">
        <v>151820112.51526412</v>
      </c>
      <c r="D71" s="14">
        <f>+C71/B71</f>
        <v>0.81834823539823021</v>
      </c>
      <c r="E71" s="9">
        <v>6693576581.9740276</v>
      </c>
      <c r="F71" s="9">
        <v>6677302216.440382</v>
      </c>
      <c r="G71" s="14">
        <f>+F71/E71</f>
        <v>0.99756865924601912</v>
      </c>
      <c r="H71" s="9">
        <v>16930887847.875336</v>
      </c>
      <c r="I71" s="9">
        <v>16930875500.338238</v>
      </c>
      <c r="J71" s="14">
        <f>+I71/H71</f>
        <v>0.9999992707094153</v>
      </c>
      <c r="K71" s="9">
        <v>5163732945.0967522</v>
      </c>
      <c r="L71" s="9">
        <v>2315193219.2271681</v>
      </c>
      <c r="M71" s="14">
        <f>+L71/K71</f>
        <v>0.44835649787535414</v>
      </c>
      <c r="N71" s="9">
        <f>5564899289</f>
        <v>5564899289</v>
      </c>
      <c r="O71" s="9">
        <f>5449481498.29</f>
        <v>5449481498.29</v>
      </c>
      <c r="P71" s="14">
        <f>+O71/N71</f>
        <v>0.97925968023569743</v>
      </c>
      <c r="Q71" s="9">
        <f>5215000000</f>
        <v>5215000000</v>
      </c>
      <c r="R71" s="9">
        <f>5165505085</f>
        <v>5165505085</v>
      </c>
      <c r="S71" s="14">
        <f>+R71/Q71</f>
        <v>0.99050912464046026</v>
      </c>
      <c r="T71" s="9">
        <f>6043000000</f>
        <v>6043000000</v>
      </c>
      <c r="U71" s="9">
        <f>5998697580</f>
        <v>5998697580</v>
      </c>
      <c r="V71" s="14">
        <f>+U71/T71</f>
        <v>0.99266880357438358</v>
      </c>
      <c r="W71" s="9">
        <f>20261250000</f>
        <v>20261250000</v>
      </c>
      <c r="X71" s="9">
        <f>20100849067</f>
        <v>20100849067</v>
      </c>
      <c r="Y71" s="14">
        <f>+X71/W71</f>
        <v>0.99208336440249245</v>
      </c>
      <c r="Z71" s="9">
        <f>15002000000</f>
        <v>15002000000</v>
      </c>
      <c r="AA71" s="9">
        <f>14933848526</f>
        <v>14933848526</v>
      </c>
      <c r="AB71" s="14">
        <f>+AA71/Z71</f>
        <v>0.99545717411011869</v>
      </c>
      <c r="AC71" s="9">
        <f>5233420000</f>
        <v>5233420000</v>
      </c>
      <c r="AD71" s="9">
        <f>4614736456</f>
        <v>4614736456</v>
      </c>
      <c r="AE71" s="14">
        <f>+AD71/AC71</f>
        <v>0.88178217226975864</v>
      </c>
      <c r="AF71" s="9">
        <v>7653851911</v>
      </c>
      <c r="AG71" s="9">
        <v>7472470742</v>
      </c>
      <c r="AH71" s="14">
        <f>+AG71/AF71</f>
        <v>0.97630197564453503</v>
      </c>
      <c r="AI71" s="9">
        <f>2777924088</f>
        <v>2777924088</v>
      </c>
      <c r="AK71" s="34"/>
    </row>
    <row r="72" spans="1:37" s="2" customFormat="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K72" s="34"/>
    </row>
    <row r="73" spans="1:37" s="2" customFormat="1" x14ac:dyDescent="0.2">
      <c r="A73" s="9" t="s">
        <v>20</v>
      </c>
      <c r="B73" s="7">
        <f>SUM(B74:B75)</f>
        <v>19588878252.984566</v>
      </c>
      <c r="C73" s="7">
        <f>SUM(C74:C75)</f>
        <v>15735628677.992983</v>
      </c>
      <c r="D73" s="6">
        <f>+C73/B73</f>
        <v>0.80329401585797788</v>
      </c>
      <c r="E73" s="7">
        <f>SUM(E74:E75)</f>
        <v>23812065222.156124</v>
      </c>
      <c r="F73" s="7">
        <f>SUM(F74:F75)</f>
        <v>21491073907.916763</v>
      </c>
      <c r="G73" s="6">
        <f>+F73/E73</f>
        <v>0.90252876881591204</v>
      </c>
      <c r="H73" s="7">
        <f>SUM(H74:H75)</f>
        <v>19434678769.397446</v>
      </c>
      <c r="I73" s="7">
        <f>SUM(I74:I75)</f>
        <v>18914447854.31073</v>
      </c>
      <c r="J73" s="6">
        <f>+I73/H73</f>
        <v>0.97323182331647851</v>
      </c>
      <c r="K73" s="7">
        <f>SUM(K74:K75)</f>
        <v>18045609628.687126</v>
      </c>
      <c r="L73" s="7">
        <f>SUM(L74:L75)</f>
        <v>17843390872.797737</v>
      </c>
      <c r="M73" s="6">
        <f>+L73/K73</f>
        <v>0.98879401915200904</v>
      </c>
      <c r="N73" s="7">
        <f>SUM(N74:N75)</f>
        <v>15741286994</v>
      </c>
      <c r="O73" s="7">
        <f>SUM(O74:O75)</f>
        <v>15553994745.5</v>
      </c>
      <c r="P73" s="6">
        <f>+O73/N73</f>
        <v>0.98810184652808952</v>
      </c>
      <c r="Q73" s="7">
        <f>SUM(Q74:Q75)</f>
        <v>11691884832</v>
      </c>
      <c r="R73" s="7">
        <f>SUM(R74:R75)</f>
        <v>10601805955.48</v>
      </c>
      <c r="S73" s="6">
        <f>+R73/Q73</f>
        <v>0.90676619790707147</v>
      </c>
      <c r="T73" s="7">
        <f>SUM(T74:T75)</f>
        <v>20609965100</v>
      </c>
      <c r="U73" s="7">
        <f>SUM(U74:U75)</f>
        <v>20135479025.119999</v>
      </c>
      <c r="V73" s="6">
        <f>+U73/T73</f>
        <v>0.97697783220021073</v>
      </c>
      <c r="W73" s="7">
        <f>SUM(W74:W75)</f>
        <v>25249593000</v>
      </c>
      <c r="X73" s="7">
        <f>SUM(X74:X75)</f>
        <v>22505930049.720001</v>
      </c>
      <c r="Y73" s="6">
        <f>+X73/W73</f>
        <v>0.89133832968000715</v>
      </c>
      <c r="Z73" s="7">
        <f>SUM(Z74:Z75)</f>
        <v>17090900673</v>
      </c>
      <c r="AA73" s="7">
        <f>SUM(AA74:AA75)</f>
        <v>16729263983.970001</v>
      </c>
      <c r="AB73" s="6">
        <f>+AA73/Z73</f>
        <v>0.97884039607103279</v>
      </c>
      <c r="AC73" s="7">
        <f>SUM(AC74:AC75)</f>
        <v>16786811463</v>
      </c>
      <c r="AD73" s="7">
        <f>SUM(AD74:AD75)</f>
        <v>16604502897.93</v>
      </c>
      <c r="AE73" s="6">
        <f>+AD73/AC73</f>
        <v>0.98913977407372278</v>
      </c>
      <c r="AF73" s="7">
        <f>SUM(AF74:AF75)</f>
        <v>20437839589</v>
      </c>
      <c r="AG73" s="7">
        <f>SUM(AG74:AG75)</f>
        <v>20149151315.02</v>
      </c>
      <c r="AH73" s="6">
        <f>+AG73/AF73</f>
        <v>0.98587481457015758</v>
      </c>
      <c r="AI73" s="7">
        <f>SUM(AI74:AI75)</f>
        <v>22841997071</v>
      </c>
      <c r="AK73" s="34"/>
    </row>
    <row r="74" spans="1:37" s="2" customFormat="1" x14ac:dyDescent="0.2">
      <c r="A74" s="9" t="s">
        <v>0</v>
      </c>
      <c r="B74" s="9">
        <v>11265096693.669151</v>
      </c>
      <c r="C74" s="9">
        <v>10686005059.115993</v>
      </c>
      <c r="D74" s="14">
        <f>+C74/B74</f>
        <v>0.94859417097781329</v>
      </c>
      <c r="E74" s="9">
        <v>13283658624.781981</v>
      </c>
      <c r="F74" s="9">
        <v>13086365867.637039</v>
      </c>
      <c r="G74" s="14">
        <f>+F74/E74</f>
        <v>0.98514770947388908</v>
      </c>
      <c r="H74" s="9">
        <v>13210285864.539145</v>
      </c>
      <c r="I74" s="9">
        <v>13107628009.654726</v>
      </c>
      <c r="J74" s="14">
        <f>+I74/H74</f>
        <v>0.99222894523728766</v>
      </c>
      <c r="K74" s="9">
        <v>11717906817.958324</v>
      </c>
      <c r="L74" s="9">
        <v>11577549140.021439</v>
      </c>
      <c r="M74" s="14">
        <f>+L74/K74</f>
        <v>0.98802194964361889</v>
      </c>
      <c r="N74" s="9">
        <f>6750315290</f>
        <v>6750315290</v>
      </c>
      <c r="O74" s="9">
        <f>6587252556.9</f>
        <v>6587252556.8999996</v>
      </c>
      <c r="P74" s="14">
        <f>+O74/N74</f>
        <v>0.97584368639172103</v>
      </c>
      <c r="Q74" s="9">
        <f>8818862535</f>
        <v>8818862535</v>
      </c>
      <c r="R74" s="9">
        <f>7751344129.91</f>
        <v>7751344129.9099998</v>
      </c>
      <c r="S74" s="14">
        <f>+R74/Q74</f>
        <v>0.87895055616829609</v>
      </c>
      <c r="T74" s="9">
        <f>9039965100</f>
        <v>9039965100</v>
      </c>
      <c r="U74" s="9">
        <f>9020178099.32</f>
        <v>9020178099.3199997</v>
      </c>
      <c r="V74" s="14">
        <f>+U74/T74</f>
        <v>0.99781116404088765</v>
      </c>
      <c r="W74" s="9">
        <f>11034943000</f>
        <v>11034943000</v>
      </c>
      <c r="X74" s="9">
        <f>10632271552.22</f>
        <v>10632271552.219999</v>
      </c>
      <c r="Y74" s="14">
        <f>+X74/W74</f>
        <v>0.96350942204413736</v>
      </c>
      <c r="Z74" s="9">
        <f>11408900673</f>
        <v>11408900673</v>
      </c>
      <c r="AA74" s="9">
        <f>11119672842.68</f>
        <v>11119672842.68</v>
      </c>
      <c r="AB74" s="14">
        <f>+AA74/Z74</f>
        <v>0.97464893081202131</v>
      </c>
      <c r="AC74" s="9">
        <f>12536811463</f>
        <v>12536811463</v>
      </c>
      <c r="AD74" s="9">
        <f>12371725705.73</f>
        <v>12371725705.73</v>
      </c>
      <c r="AE74" s="14">
        <f>+AD74/AC74</f>
        <v>0.9868319183265043</v>
      </c>
      <c r="AF74" s="9">
        <v>10100322789</v>
      </c>
      <c r="AG74" s="9">
        <v>9945453612.9099998</v>
      </c>
      <c r="AH74" s="14">
        <f>+AG74/AF74</f>
        <v>0.98466690824389647</v>
      </c>
      <c r="AI74" s="9">
        <f>10526510271</f>
        <v>10526510271</v>
      </c>
      <c r="AK74" s="34"/>
    </row>
    <row r="75" spans="1:37" s="2" customFormat="1" x14ac:dyDescent="0.2">
      <c r="A75" s="9" t="s">
        <v>23</v>
      </c>
      <c r="B75" s="9">
        <v>8323781559.3154144</v>
      </c>
      <c r="C75" s="9">
        <v>5049623618.8769894</v>
      </c>
      <c r="D75" s="14">
        <f>+C75/B75</f>
        <v>0.60665018452169628</v>
      </c>
      <c r="E75" s="9">
        <v>10528406597.374144</v>
      </c>
      <c r="F75" s="9">
        <v>8404708040.2797241</v>
      </c>
      <c r="G75" s="14">
        <f>+F75/E75</f>
        <v>0.7982887023356332</v>
      </c>
      <c r="H75" s="9">
        <v>6224392904.8583002</v>
      </c>
      <c r="I75" s="9">
        <v>5806819844.6560059</v>
      </c>
      <c r="J75" s="14">
        <f>+I75/H75</f>
        <v>0.93291344769120088</v>
      </c>
      <c r="K75" s="9">
        <v>6327702810.7287998</v>
      </c>
      <c r="L75" s="9">
        <v>6265841732.7762995</v>
      </c>
      <c r="M75" s="14">
        <f>+L75/K75</f>
        <v>0.99022377001530271</v>
      </c>
      <c r="N75" s="9">
        <f>8990971704</f>
        <v>8990971704</v>
      </c>
      <c r="O75" s="9">
        <f>8966742188.6</f>
        <v>8966742188.6000004</v>
      </c>
      <c r="P75" s="14">
        <f>+O75/N75</f>
        <v>0.99730512827782336</v>
      </c>
      <c r="Q75" s="9">
        <f>2873022297</f>
        <v>2873022297</v>
      </c>
      <c r="R75" s="9">
        <f>2850461825.57</f>
        <v>2850461825.5700002</v>
      </c>
      <c r="S75" s="14">
        <f>+R75/Q75</f>
        <v>0.99214747777852008</v>
      </c>
      <c r="T75" s="9">
        <f>11570000000</f>
        <v>11570000000</v>
      </c>
      <c r="U75" s="9">
        <f>11115300925.8</f>
        <v>11115300925.799999</v>
      </c>
      <c r="V75" s="14">
        <f>+U75/T75</f>
        <v>0.9607001664477095</v>
      </c>
      <c r="W75" s="9">
        <f>14214650000</f>
        <v>14214650000</v>
      </c>
      <c r="X75" s="9">
        <f>11873658497.5</f>
        <v>11873658497.5</v>
      </c>
      <c r="Y75" s="14">
        <f>+X75/W75</f>
        <v>0.83531135114125221</v>
      </c>
      <c r="Z75" s="9">
        <f>5682000000</f>
        <v>5682000000</v>
      </c>
      <c r="AA75" s="9">
        <f>5609591141.29</f>
        <v>5609591141.29</v>
      </c>
      <c r="AB75" s="14">
        <f>+AA75/Z75</f>
        <v>0.98725644866068285</v>
      </c>
      <c r="AC75" s="9">
        <f>4250000000</f>
        <v>4250000000</v>
      </c>
      <c r="AD75" s="9">
        <f>4232777192.2</f>
        <v>4232777192.1999998</v>
      </c>
      <c r="AE75" s="14">
        <f>+AD75/AC75</f>
        <v>0.99594757463529404</v>
      </c>
      <c r="AF75" s="9">
        <v>10337516800</v>
      </c>
      <c r="AG75" s="9">
        <v>10203697702.110001</v>
      </c>
      <c r="AH75" s="14">
        <f>+AG75/AF75</f>
        <v>0.98705500552221603</v>
      </c>
      <c r="AI75" s="9">
        <f>12315486800</f>
        <v>12315486800</v>
      </c>
      <c r="AK75" s="34"/>
    </row>
    <row r="76" spans="1:37" s="2" customForma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K76" s="34"/>
    </row>
    <row r="77" spans="1:37" s="2" customFormat="1" x14ac:dyDescent="0.2">
      <c r="A77" s="9" t="s">
        <v>21</v>
      </c>
      <c r="B77" s="7">
        <f>SUM(B78:B79)</f>
        <v>1742582241.1014676</v>
      </c>
      <c r="C77" s="7">
        <f>SUM(C78:C79)</f>
        <v>1635247499.2137094</v>
      </c>
      <c r="D77" s="6">
        <f>+C77/B77</f>
        <v>0.93840477691319002</v>
      </c>
      <c r="E77" s="7">
        <f>SUM(E78:E79)</f>
        <v>1740677115.0779111</v>
      </c>
      <c r="F77" s="7">
        <f>SUM(F78:F79)</f>
        <v>1688464102.0154905</v>
      </c>
      <c r="G77" s="6">
        <f>+F77/E77</f>
        <v>0.97000419399431026</v>
      </c>
      <c r="H77" s="7">
        <f>SUM(H78:H79)</f>
        <v>1980169096.034646</v>
      </c>
      <c r="I77" s="7">
        <f>SUM(I78:I79)</f>
        <v>1910619025.4426014</v>
      </c>
      <c r="J77" s="6">
        <f>+I77/H77</f>
        <v>0.96487670132246739</v>
      </c>
      <c r="K77" s="7">
        <f>SUM(K78:K79)</f>
        <v>1718704395.5091767</v>
      </c>
      <c r="L77" s="7">
        <f>SUM(L78:L79)</f>
        <v>1662005903.8842673</v>
      </c>
      <c r="M77" s="6">
        <f>+L77/K77</f>
        <v>0.96701091137425521</v>
      </c>
      <c r="N77" s="7">
        <f>SUM(N78:N79)</f>
        <v>1147973146</v>
      </c>
      <c r="O77" s="7">
        <f>SUM(O78:O79)</f>
        <v>1031798848.13</v>
      </c>
      <c r="P77" s="6">
        <f>+O77/N77</f>
        <v>0.89880050916278142</v>
      </c>
      <c r="Q77" s="7">
        <f>SUM(Q78:Q79)</f>
        <v>1370307683</v>
      </c>
      <c r="R77" s="7">
        <f>SUM(R78:R79)</f>
        <v>1158737809.9300001</v>
      </c>
      <c r="S77" s="6">
        <f>+R77/Q77</f>
        <v>0.84560411089076559</v>
      </c>
      <c r="T77" s="7">
        <f>SUM(T78:T79)</f>
        <v>1831320994</v>
      </c>
      <c r="U77" s="7">
        <f>SUM(U78:U79)</f>
        <v>1699479251.05</v>
      </c>
      <c r="V77" s="6">
        <f>+U77/T77</f>
        <v>0.92800729998620868</v>
      </c>
      <c r="W77" s="7">
        <f>SUM(W78:W79)</f>
        <v>2386108000</v>
      </c>
      <c r="X77" s="7">
        <f>SUM(X78:X79)</f>
        <v>2382452309.52</v>
      </c>
      <c r="Y77" s="6">
        <f>+X77/W77</f>
        <v>0.99846792748693691</v>
      </c>
      <c r="Z77" s="7">
        <f>SUM(Z78:Z79)</f>
        <v>2634307518</v>
      </c>
      <c r="AA77" s="7">
        <f>SUM(AA78:AA79)</f>
        <v>2561424203.9000001</v>
      </c>
      <c r="AB77" s="6">
        <f>+AA77/Z77</f>
        <v>0.97233302733185312</v>
      </c>
      <c r="AC77" s="7">
        <f>SUM(AC78:AC79)</f>
        <v>3800136880</v>
      </c>
      <c r="AD77" s="7">
        <f>SUM(AD78:AD79)</f>
        <v>3662570603.2800002</v>
      </c>
      <c r="AE77" s="6">
        <f>+AD77/AC77</f>
        <v>0.96379965220621211</v>
      </c>
      <c r="AF77" s="7">
        <f>SUM(AF78:AF79)</f>
        <v>3111893912</v>
      </c>
      <c r="AG77" s="7">
        <f>SUM(AG78:AG79)</f>
        <v>2908118798</v>
      </c>
      <c r="AH77" s="6">
        <f>+AG77/AF77</f>
        <v>0.93451733260757763</v>
      </c>
      <c r="AI77" s="7">
        <f>SUM(AI78:AI79)</f>
        <v>3255991766</v>
      </c>
      <c r="AK77" s="34"/>
    </row>
    <row r="78" spans="1:37" s="2" customFormat="1" x14ac:dyDescent="0.2">
      <c r="A78" s="9" t="s">
        <v>0</v>
      </c>
      <c r="B78" s="9">
        <v>1722060097.2175539</v>
      </c>
      <c r="C78" s="9">
        <v>1614763510.0997045</v>
      </c>
      <c r="D78" s="14">
        <f>+C78/B78</f>
        <v>0.93769289045648552</v>
      </c>
      <c r="E78" s="9">
        <v>1740677115.0779111</v>
      </c>
      <c r="F78" s="9">
        <v>1688464102.0154905</v>
      </c>
      <c r="G78" s="14">
        <f>+F78/E78</f>
        <v>0.97000419399431026</v>
      </c>
      <c r="H78" s="9">
        <v>1926472873.781894</v>
      </c>
      <c r="I78" s="9">
        <v>1860169970.6194437</v>
      </c>
      <c r="J78" s="14">
        <f>+I78/H78</f>
        <v>0.96558326667102767</v>
      </c>
      <c r="K78" s="9">
        <v>1718704395.5091767</v>
      </c>
      <c r="L78" s="9">
        <v>1662005903.8842673</v>
      </c>
      <c r="M78" s="14">
        <f>+L78/K78</f>
        <v>0.96701091137425521</v>
      </c>
      <c r="N78" s="9">
        <f>(786907398+85355668+217214541+7993030+3002509)</f>
        <v>1100473146</v>
      </c>
      <c r="O78" s="9">
        <f>(721271340+71384666+190108057.13+1561359)</f>
        <v>984325422.13</v>
      </c>
      <c r="P78" s="14">
        <f>+O78/N78</f>
        <v>0.8944565578068181</v>
      </c>
      <c r="Q78" s="9">
        <f>1304319683</f>
        <v>1304319683</v>
      </c>
      <c r="R78" s="9">
        <f>1092753536.93</f>
        <v>1092753536.9300001</v>
      </c>
      <c r="S78" s="14">
        <f>+R78/Q78</f>
        <v>0.83779578823545209</v>
      </c>
      <c r="T78" s="9">
        <f>1571320994</f>
        <v>1571320994</v>
      </c>
      <c r="U78" s="9">
        <f>1439575679.05</f>
        <v>1439575679.05</v>
      </c>
      <c r="V78" s="14">
        <f>+U78/T78</f>
        <v>0.91615633250426742</v>
      </c>
      <c r="W78" s="9">
        <f>2117608000</f>
        <v>2117608000</v>
      </c>
      <c r="X78" s="9">
        <f>2114769739.52</f>
        <v>2114769739.52</v>
      </c>
      <c r="Y78" s="14">
        <f>+X78/W78</f>
        <v>0.99865968560753449</v>
      </c>
      <c r="Z78" s="9">
        <f>2555307518</f>
        <v>2555307518</v>
      </c>
      <c r="AA78" s="9">
        <f>2482883024.9</f>
        <v>2482883024.9000001</v>
      </c>
      <c r="AB78" s="14">
        <f>+AA78/Z78</f>
        <v>0.9716572300633759</v>
      </c>
      <c r="AC78" s="9">
        <f>3515136880</f>
        <v>3515136880</v>
      </c>
      <c r="AD78" s="9">
        <f>3385053542.28</f>
        <v>3385053542.2800002</v>
      </c>
      <c r="AE78" s="14">
        <f>+AD78/AC78</f>
        <v>0.96299337915967587</v>
      </c>
      <c r="AF78" s="9">
        <v>2811893912</v>
      </c>
      <c r="AG78" s="9">
        <v>2608120416</v>
      </c>
      <c r="AH78" s="14">
        <f>+AG78/AF78</f>
        <v>0.92753158462686691</v>
      </c>
      <c r="AI78" s="9">
        <f>2919257766</f>
        <v>2919257766</v>
      </c>
      <c r="AK78" s="34"/>
    </row>
    <row r="79" spans="1:37" s="2" customFormat="1" x14ac:dyDescent="0.2">
      <c r="A79" s="9" t="s">
        <v>23</v>
      </c>
      <c r="B79" s="9">
        <v>20522143.883913744</v>
      </c>
      <c r="C79" s="9">
        <v>20483989.114004772</v>
      </c>
      <c r="D79" s="14">
        <f>+C79/B79</f>
        <v>0.99814080000000005</v>
      </c>
      <c r="E79" s="9">
        <v>0</v>
      </c>
      <c r="F79" s="9">
        <v>0</v>
      </c>
      <c r="G79" s="14">
        <v>0</v>
      </c>
      <c r="H79" s="9">
        <v>53696222.252752081</v>
      </c>
      <c r="I79" s="9">
        <v>50449054.823157735</v>
      </c>
      <c r="J79" s="14">
        <f>+I79/H79</f>
        <v>0.93952707856598017</v>
      </c>
      <c r="K79" s="9">
        <v>0</v>
      </c>
      <c r="L79" s="9">
        <v>0</v>
      </c>
      <c r="M79" s="14">
        <v>0</v>
      </c>
      <c r="N79" s="9">
        <f>47500000</f>
        <v>47500000</v>
      </c>
      <c r="O79" s="9">
        <f>47473426</f>
        <v>47473426</v>
      </c>
      <c r="P79" s="14">
        <f>+O79/N79</f>
        <v>0.99944054736842103</v>
      </c>
      <c r="Q79" s="9">
        <f>65988000</f>
        <v>65988000</v>
      </c>
      <c r="R79" s="9">
        <f>65984273</f>
        <v>65984273</v>
      </c>
      <c r="S79" s="14">
        <f>+R79/Q79</f>
        <v>0.9999435200339456</v>
      </c>
      <c r="T79" s="9">
        <f>260000000</f>
        <v>260000000</v>
      </c>
      <c r="U79" s="9">
        <f>259903572</f>
        <v>259903572</v>
      </c>
      <c r="V79" s="14">
        <f>+U79/T79</f>
        <v>0.99962912307692309</v>
      </c>
      <c r="W79" s="9">
        <f>268500000</f>
        <v>268500000</v>
      </c>
      <c r="X79" s="9">
        <f>267682570</f>
        <v>267682570</v>
      </c>
      <c r="Y79" s="14">
        <f>+X79/W79</f>
        <v>0.99695556797020479</v>
      </c>
      <c r="Z79" s="9">
        <f>79000000</f>
        <v>79000000</v>
      </c>
      <c r="AA79" s="9">
        <f>78541179</f>
        <v>78541179</v>
      </c>
      <c r="AB79" s="14">
        <f>+AA79/Z79</f>
        <v>0.99419213924050631</v>
      </c>
      <c r="AC79" s="9">
        <f>285000000</f>
        <v>285000000</v>
      </c>
      <c r="AD79" s="9">
        <f>277517061</f>
        <v>277517061</v>
      </c>
      <c r="AE79" s="14">
        <f>+AD79/AC79</f>
        <v>0.97374407368421056</v>
      </c>
      <c r="AF79" s="9">
        <v>300000000</v>
      </c>
      <c r="AG79" s="9">
        <v>299998382</v>
      </c>
      <c r="AH79" s="14">
        <f>+AG79/AF79</f>
        <v>0.99999460666666662</v>
      </c>
      <c r="AI79" s="9">
        <f>336734000</f>
        <v>336734000</v>
      </c>
      <c r="AK79" s="34"/>
    </row>
    <row r="80" spans="1:37" s="2" customFormat="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K80" s="34"/>
    </row>
    <row r="81" spans="1:37" s="2" customFormat="1" x14ac:dyDescent="0.2">
      <c r="A81" s="9" t="s">
        <v>22</v>
      </c>
      <c r="B81" s="7">
        <f>SUM(B82:B83)</f>
        <v>1654927674.3281903</v>
      </c>
      <c r="C81" s="7">
        <f>SUM(C82:C83)</f>
        <v>1210022356.1336374</v>
      </c>
      <c r="D81" s="6">
        <f>+C81/B81</f>
        <v>0.73116328580633594</v>
      </c>
      <c r="E81" s="7">
        <f>SUM(E82:E83)</f>
        <v>2026444846.8189564</v>
      </c>
      <c r="F81" s="7">
        <f>SUM(F82:F83)</f>
        <v>1878435540.5264521</v>
      </c>
      <c r="G81" s="6">
        <f>+F81/E81</f>
        <v>0.92696109813951055</v>
      </c>
      <c r="H81" s="7">
        <f>SUM(H82:H83)</f>
        <v>2383194902.2651153</v>
      </c>
      <c r="I81" s="7">
        <f>SUM(I82:I83)</f>
        <v>2331481326.6108608</v>
      </c>
      <c r="J81" s="6">
        <f>+I81/H81</f>
        <v>0.97830073587137034</v>
      </c>
      <c r="K81" s="7">
        <f>SUM(K82:K83)</f>
        <v>42510366987.845306</v>
      </c>
      <c r="L81" s="7">
        <f>SUM(L82:L83)</f>
        <v>41645430228.658699</v>
      </c>
      <c r="M81" s="6">
        <f>+L81/K81</f>
        <v>0.97965350994419986</v>
      </c>
      <c r="N81" s="7">
        <f>SUM(N82:N83)</f>
        <v>46550286045</v>
      </c>
      <c r="O81" s="7">
        <f>SUM(O82:O83)</f>
        <v>45588283978.979996</v>
      </c>
      <c r="P81" s="6">
        <f>+O81/N81</f>
        <v>0.97933413201607311</v>
      </c>
      <c r="Q81" s="7">
        <f>SUM(Q82:Q83)</f>
        <v>63096928708</v>
      </c>
      <c r="R81" s="7">
        <f>SUM(R82:R83)</f>
        <v>57346446350.099998</v>
      </c>
      <c r="S81" s="6">
        <f>+R81/Q81</f>
        <v>0.90886272159914328</v>
      </c>
      <c r="T81" s="7">
        <f>SUM(T82:T83)</f>
        <v>81271238234</v>
      </c>
      <c r="U81" s="7">
        <f>SUM(U82:U83)</f>
        <v>68366830009.400002</v>
      </c>
      <c r="V81" s="6">
        <f>+U81/T81</f>
        <v>0.84121801876027757</v>
      </c>
      <c r="W81" s="7">
        <f>SUM(W82:W83)</f>
        <v>81345991820</v>
      </c>
      <c r="X81" s="7">
        <f>SUM(X82:X83)</f>
        <v>77977609992.130005</v>
      </c>
      <c r="Y81" s="6">
        <f>+X81/W81</f>
        <v>0.95859191396518406</v>
      </c>
      <c r="Z81" s="7">
        <f>SUM(Z82:Z83)</f>
        <v>73861485214</v>
      </c>
      <c r="AA81" s="7">
        <f>SUM(AA82:AA83)</f>
        <v>73586572431.37999</v>
      </c>
      <c r="AB81" s="6">
        <f>+AA81/Z81</f>
        <v>0.9962779954691745</v>
      </c>
      <c r="AC81" s="7">
        <f>SUM(AC82:AC83)</f>
        <v>72102252221</v>
      </c>
      <c r="AD81" s="7">
        <f>SUM(AD82:AD83)</f>
        <v>64663002086.850006</v>
      </c>
      <c r="AE81" s="6">
        <f>+AD81/AC81</f>
        <v>0.89682360945746864</v>
      </c>
      <c r="AF81" s="7">
        <f>SUM(AF82:AF83)</f>
        <v>79116608707</v>
      </c>
      <c r="AG81" s="7">
        <f>SUM(AG82:AG83)</f>
        <v>73079362349.270004</v>
      </c>
      <c r="AH81" s="6">
        <f>+AG81/AF81</f>
        <v>0.92369179548521474</v>
      </c>
      <c r="AI81" s="7">
        <f>SUM(AI82:AI83)</f>
        <v>86377075708</v>
      </c>
      <c r="AK81" s="34"/>
    </row>
    <row r="82" spans="1:37" s="2" customFormat="1" x14ac:dyDescent="0.2">
      <c r="A82" s="9" t="s">
        <v>0</v>
      </c>
      <c r="B82" s="9">
        <v>1097135803.5634148</v>
      </c>
      <c r="C82" s="9">
        <v>995950853.56413913</v>
      </c>
      <c r="D82" s="14">
        <f>+C82/B82</f>
        <v>0.9077735411873038</v>
      </c>
      <c r="E82" s="9">
        <v>1161139556.0361726</v>
      </c>
      <c r="F82" s="9">
        <v>1142460916.4935679</v>
      </c>
      <c r="G82" s="14">
        <f>+F82/E82</f>
        <v>0.98391352749503369</v>
      </c>
      <c r="H82" s="9">
        <v>1285491566.44449</v>
      </c>
      <c r="I82" s="9">
        <v>1255273070.4996972</v>
      </c>
      <c r="J82" s="14">
        <f>+I82/H82</f>
        <v>0.97649265329031032</v>
      </c>
      <c r="K82" s="9">
        <v>2897824640.3453884</v>
      </c>
      <c r="L82" s="9">
        <v>2421421271.9871454</v>
      </c>
      <c r="M82" s="14">
        <f>+L82/K82</f>
        <v>0.83559965578128947</v>
      </c>
      <c r="N82" s="9">
        <f>3451999196</f>
        <v>3451999196</v>
      </c>
      <c r="O82" s="9">
        <f>2616416759.78</f>
        <v>2616416759.7800002</v>
      </c>
      <c r="P82" s="14">
        <f>+O82/N82</f>
        <v>0.75794245920212555</v>
      </c>
      <c r="Q82" s="9">
        <f>4049661042</f>
        <v>4049661042</v>
      </c>
      <c r="R82" s="9">
        <f>3365826677.54</f>
        <v>3365826677.54</v>
      </c>
      <c r="S82" s="14">
        <f>+R82/Q82</f>
        <v>0.8311378761412892</v>
      </c>
      <c r="T82" s="9">
        <f>4722833000</f>
        <v>4722833000</v>
      </c>
      <c r="U82" s="9">
        <f>4166371747.79</f>
        <v>4166371747.79</v>
      </c>
      <c r="V82" s="14">
        <f>+U82/T82</f>
        <v>0.88217638603566972</v>
      </c>
      <c r="W82" s="9">
        <f>5354959120</f>
        <v>5354959120</v>
      </c>
      <c r="X82" s="9">
        <f>5068831402.64</f>
        <v>5068831402.6400003</v>
      </c>
      <c r="Y82" s="14">
        <f>+X82/W82</f>
        <v>0.94656771210608237</v>
      </c>
      <c r="Z82" s="9">
        <f>6353614000</f>
        <v>6353614000</v>
      </c>
      <c r="AA82" s="9">
        <f>6295260791.29</f>
        <v>6295260791.29</v>
      </c>
      <c r="AB82" s="14">
        <f>+AA82/Z82</f>
        <v>0.99081574538365091</v>
      </c>
      <c r="AC82" s="9">
        <f>5776252221</f>
        <v>5776252221</v>
      </c>
      <c r="AD82" s="9">
        <f>5718309564.87</f>
        <v>5718309564.8699999</v>
      </c>
      <c r="AE82" s="14">
        <f>+AD82/AC82</f>
        <v>0.9899688147412703</v>
      </c>
      <c r="AF82" s="9">
        <v>6015791353</v>
      </c>
      <c r="AG82" s="9">
        <v>5994637721.0200005</v>
      </c>
      <c r="AH82" s="14">
        <f>+AG82/AF82</f>
        <v>0.99648364932579481</v>
      </c>
      <c r="AI82" s="9">
        <f>6100084990</f>
        <v>6100084990</v>
      </c>
      <c r="AK82" s="34"/>
    </row>
    <row r="83" spans="1:37" s="2" customFormat="1" x14ac:dyDescent="0.2">
      <c r="A83" s="9" t="s">
        <v>23</v>
      </c>
      <c r="B83" s="9">
        <v>557791870.76477551</v>
      </c>
      <c r="C83" s="9">
        <v>214071502.56949827</v>
      </c>
      <c r="D83" s="14">
        <f>+C83/B83</f>
        <v>0.38378383370125096</v>
      </c>
      <c r="E83" s="9">
        <v>865305290.78278387</v>
      </c>
      <c r="F83" s="9">
        <v>735974624.032884</v>
      </c>
      <c r="G83" s="14">
        <f>+F83/E83</f>
        <v>0.85053752920786718</v>
      </c>
      <c r="H83" s="9">
        <v>1097703335.8206253</v>
      </c>
      <c r="I83" s="9">
        <v>1076208256.1111639</v>
      </c>
      <c r="J83" s="14">
        <f>+I83/H83</f>
        <v>0.98041813392742216</v>
      </c>
      <c r="K83" s="9">
        <v>39612542347.499916</v>
      </c>
      <c r="L83" s="9">
        <v>39224008956.671555</v>
      </c>
      <c r="M83" s="14">
        <f>+L83/K83</f>
        <v>0.99019165729328951</v>
      </c>
      <c r="N83" s="9">
        <f>43098286849</f>
        <v>43098286849</v>
      </c>
      <c r="O83" s="9">
        <f>42971867219.2</f>
        <v>42971867219.199997</v>
      </c>
      <c r="P83" s="14">
        <f>+O83/N83</f>
        <v>0.99706671334192631</v>
      </c>
      <c r="Q83" s="9">
        <f>59047267666</f>
        <v>59047267666</v>
      </c>
      <c r="R83" s="9">
        <f>53980619672.56</f>
        <v>53980619672.559998</v>
      </c>
      <c r="S83" s="14">
        <f>+R83/Q83</f>
        <v>0.91419335400751445</v>
      </c>
      <c r="T83" s="9">
        <f>76548405234</f>
        <v>76548405234</v>
      </c>
      <c r="U83" s="9">
        <f>64200458261.61</f>
        <v>64200458261.610001</v>
      </c>
      <c r="V83" s="14">
        <f>+U83/T83</f>
        <v>0.83869099644017808</v>
      </c>
      <c r="W83" s="9">
        <f>75991032700</f>
        <v>75991032700</v>
      </c>
      <c r="X83" s="9">
        <f>72908778589.49</f>
        <v>72908778589.490005</v>
      </c>
      <c r="Y83" s="14">
        <f>+X83/W83</f>
        <v>0.95943923906550632</v>
      </c>
      <c r="Z83" s="9">
        <f>67507871214</f>
        <v>67507871214</v>
      </c>
      <c r="AA83" s="9">
        <f>67291311640.09</f>
        <v>67291311640.089996</v>
      </c>
      <c r="AB83" s="14">
        <f>+AA83/Z83</f>
        <v>0.99679208409307551</v>
      </c>
      <c r="AC83" s="9">
        <f>66326000000</f>
        <v>66326000000</v>
      </c>
      <c r="AD83" s="9">
        <f>58944692521.98</f>
        <v>58944692521.980003</v>
      </c>
      <c r="AE83" s="14">
        <f>+AD83/AC83</f>
        <v>0.8887117046404126</v>
      </c>
      <c r="AF83" s="9">
        <f>73100817354</f>
        <v>73100817354</v>
      </c>
      <c r="AG83" s="9">
        <v>67084724628.25</v>
      </c>
      <c r="AH83" s="14">
        <f>+AG83/AF83</f>
        <v>0.91770143011375227</v>
      </c>
      <c r="AI83" s="9">
        <f>80276990718</f>
        <v>80276990718</v>
      </c>
      <c r="AK83" s="34"/>
    </row>
    <row r="84" spans="1:37" s="2" customFormat="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K84" s="34"/>
    </row>
    <row r="85" spans="1:37" s="2" customFormat="1" ht="24" x14ac:dyDescent="0.2">
      <c r="A85" s="40" t="s">
        <v>34</v>
      </c>
      <c r="B85" s="7">
        <f>SUM(B86:B87)</f>
        <v>0</v>
      </c>
      <c r="C85" s="7">
        <f>SUM(C86:C87)</f>
        <v>0</v>
      </c>
      <c r="D85" s="6">
        <v>0</v>
      </c>
      <c r="E85" s="7">
        <f>SUM(E86:E87)</f>
        <v>0</v>
      </c>
      <c r="F85" s="7">
        <f>SUM(F86:F87)</f>
        <v>0</v>
      </c>
      <c r="G85" s="6">
        <v>0</v>
      </c>
      <c r="H85" s="7">
        <f>SUM(H86:H87)</f>
        <v>0</v>
      </c>
      <c r="I85" s="7">
        <f>SUM(I86:I87)</f>
        <v>0</v>
      </c>
      <c r="J85" s="6">
        <v>0</v>
      </c>
      <c r="K85" s="7">
        <f>SUM(K86:K87)</f>
        <v>0</v>
      </c>
      <c r="L85" s="7">
        <f>SUM(L86:L87)</f>
        <v>0</v>
      </c>
      <c r="M85" s="6">
        <v>0</v>
      </c>
      <c r="N85" s="7">
        <f>SUM(N86:N87)</f>
        <v>0</v>
      </c>
      <c r="O85" s="7">
        <f>SUM(O86:O87)</f>
        <v>0</v>
      </c>
      <c r="P85" s="6">
        <v>0</v>
      </c>
      <c r="Q85" s="7">
        <f>SUM(Q86:Q87)</f>
        <v>0</v>
      </c>
      <c r="R85" s="7">
        <f>SUM(R86:R87)</f>
        <v>0</v>
      </c>
      <c r="S85" s="6">
        <v>0</v>
      </c>
      <c r="T85" s="7">
        <f>SUM(T86:T87)</f>
        <v>0</v>
      </c>
      <c r="U85" s="7">
        <f>SUM(U86:U87)</f>
        <v>0</v>
      </c>
      <c r="V85" s="6">
        <v>0</v>
      </c>
      <c r="W85" s="7">
        <f>SUM(W86:W87)</f>
        <v>0</v>
      </c>
      <c r="X85" s="7">
        <f>SUM(X86:X87)</f>
        <v>0</v>
      </c>
      <c r="Y85" s="6">
        <v>0</v>
      </c>
      <c r="Z85" s="7">
        <f>SUM(Z86:Z87)</f>
        <v>10703500000</v>
      </c>
      <c r="AA85" s="7">
        <f>SUM(AA86:AA87)</f>
        <v>10349529407.450001</v>
      </c>
      <c r="AB85" s="6">
        <f>+AA85/Z85</f>
        <v>0.96692945367870331</v>
      </c>
      <c r="AC85" s="7">
        <f>SUM(AC86:AC87)</f>
        <v>6117121000</v>
      </c>
      <c r="AD85" s="7">
        <f>SUM(AD86:AD87)</f>
        <v>5953344443.1800003</v>
      </c>
      <c r="AE85" s="6">
        <f>+AD85/AC85</f>
        <v>0.97322652979726909</v>
      </c>
      <c r="AF85" s="7">
        <f>SUM(AF86:AF87)</f>
        <v>8425689676</v>
      </c>
      <c r="AG85" s="7">
        <f>SUM(AG86:AG87)</f>
        <v>8127283303.25</v>
      </c>
      <c r="AH85" s="6">
        <f>+AG85/AF85</f>
        <v>0.96458374516213308</v>
      </c>
      <c r="AI85" s="7">
        <f>SUM(AI86:AI87)</f>
        <v>9911101568</v>
      </c>
      <c r="AK85" s="34"/>
    </row>
    <row r="86" spans="1:37" s="2" customFormat="1" x14ac:dyDescent="0.2">
      <c r="A86" s="9" t="s">
        <v>0</v>
      </c>
      <c r="B86" s="9">
        <v>0</v>
      </c>
      <c r="C86" s="9">
        <v>0</v>
      </c>
      <c r="D86" s="14">
        <v>0</v>
      </c>
      <c r="E86" s="9">
        <v>0</v>
      </c>
      <c r="F86" s="9">
        <v>0</v>
      </c>
      <c r="G86" s="14">
        <v>0</v>
      </c>
      <c r="H86" s="9">
        <v>0</v>
      </c>
      <c r="I86" s="9">
        <v>0</v>
      </c>
      <c r="J86" s="14">
        <v>0</v>
      </c>
      <c r="K86" s="9">
        <v>0</v>
      </c>
      <c r="L86" s="9">
        <v>0</v>
      </c>
      <c r="M86" s="14">
        <v>0</v>
      </c>
      <c r="N86" s="9">
        <v>0</v>
      </c>
      <c r="O86" s="9">
        <v>0</v>
      </c>
      <c r="P86" s="14">
        <v>0</v>
      </c>
      <c r="Q86" s="9">
        <v>0</v>
      </c>
      <c r="R86" s="9">
        <v>0</v>
      </c>
      <c r="S86" s="14">
        <v>0</v>
      </c>
      <c r="T86" s="9">
        <v>0</v>
      </c>
      <c r="U86" s="9">
        <v>0</v>
      </c>
      <c r="V86" s="14">
        <v>0</v>
      </c>
      <c r="W86" s="9">
        <v>0</v>
      </c>
      <c r="X86" s="9">
        <v>0</v>
      </c>
      <c r="Y86" s="14">
        <v>0</v>
      </c>
      <c r="Z86" s="9">
        <f>2686500000</f>
        <v>2686500000</v>
      </c>
      <c r="AA86" s="9">
        <f>2347498794.96</f>
        <v>2347498794.96</v>
      </c>
      <c r="AB86" s="14">
        <f>+AA86/Z86</f>
        <v>0.87381306345058629</v>
      </c>
      <c r="AC86" s="9">
        <f>3617121000</f>
        <v>3617121000</v>
      </c>
      <c r="AD86" s="9">
        <f>3455859176.67</f>
        <v>3455859176.6700001</v>
      </c>
      <c r="AE86" s="14">
        <f>+AD86/AC86</f>
        <v>0.95541707802144304</v>
      </c>
      <c r="AF86" s="9">
        <f>4225689676</f>
        <v>4225689676</v>
      </c>
      <c r="AG86" s="9">
        <f>3927386693.87</f>
        <v>3927386693.8699999</v>
      </c>
      <c r="AH86" s="14">
        <f>+AG86/AF86</f>
        <v>0.92940726721504763</v>
      </c>
      <c r="AI86" s="9">
        <f>4282236943</f>
        <v>4282236943</v>
      </c>
      <c r="AK86" s="34"/>
    </row>
    <row r="87" spans="1:37" s="2" customFormat="1" x14ac:dyDescent="0.2">
      <c r="A87" s="9" t="s">
        <v>23</v>
      </c>
      <c r="B87" s="9">
        <v>0</v>
      </c>
      <c r="C87" s="9">
        <v>0</v>
      </c>
      <c r="D87" s="14">
        <v>0</v>
      </c>
      <c r="E87" s="9">
        <v>0</v>
      </c>
      <c r="F87" s="9">
        <v>0</v>
      </c>
      <c r="G87" s="14">
        <v>0</v>
      </c>
      <c r="H87" s="9">
        <v>0</v>
      </c>
      <c r="I87" s="9">
        <v>0</v>
      </c>
      <c r="J87" s="14">
        <v>0</v>
      </c>
      <c r="K87" s="9">
        <v>0</v>
      </c>
      <c r="L87" s="9">
        <v>0</v>
      </c>
      <c r="M87" s="14">
        <v>0</v>
      </c>
      <c r="N87" s="9">
        <v>0</v>
      </c>
      <c r="O87" s="9">
        <v>0</v>
      </c>
      <c r="P87" s="14">
        <v>0</v>
      </c>
      <c r="Q87" s="9">
        <v>0</v>
      </c>
      <c r="R87" s="9">
        <v>0</v>
      </c>
      <c r="S87" s="14">
        <v>0</v>
      </c>
      <c r="T87" s="9">
        <v>0</v>
      </c>
      <c r="U87" s="9">
        <v>0</v>
      </c>
      <c r="V87" s="14">
        <v>0</v>
      </c>
      <c r="W87" s="9">
        <v>0</v>
      </c>
      <c r="X87" s="9">
        <v>0</v>
      </c>
      <c r="Y87" s="14">
        <v>0</v>
      </c>
      <c r="Z87" s="9">
        <f>8017000000</f>
        <v>8017000000</v>
      </c>
      <c r="AA87" s="9">
        <f>8002030612.49</f>
        <v>8002030612.4899998</v>
      </c>
      <c r="AB87" s="14">
        <f>+AA87/Z87</f>
        <v>0.9981327943732069</v>
      </c>
      <c r="AC87" s="9">
        <f>2500000000</f>
        <v>2500000000</v>
      </c>
      <c r="AD87" s="9">
        <f>2497485266.51</f>
        <v>2497485266.5100002</v>
      </c>
      <c r="AE87" s="14">
        <f>+AD87/AC87</f>
        <v>0.99899410660400012</v>
      </c>
      <c r="AF87" s="9">
        <f>4200000000</f>
        <v>4200000000</v>
      </c>
      <c r="AG87" s="9">
        <f>4199896609.38</f>
        <v>4199896609.3800001</v>
      </c>
      <c r="AH87" s="14">
        <f>+AG87/AF87</f>
        <v>0.99997538318571433</v>
      </c>
      <c r="AI87" s="9">
        <f>5628864625</f>
        <v>5628864625</v>
      </c>
      <c r="AK87" s="34"/>
    </row>
    <row r="88" spans="1:37" s="2" customFormat="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K88" s="34"/>
    </row>
    <row r="89" spans="1:37" s="2" customFormat="1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K89" s="34"/>
    </row>
    <row r="90" spans="1:37" s="2" customFormat="1" x14ac:dyDescent="0.2">
      <c r="A90" s="27" t="s">
        <v>26</v>
      </c>
      <c r="B90" s="9">
        <f>+B13+B17+B21+B25++B29+B33+B37+B41+B46+B50+B54+B58+B62+B66+B70+B74+B78+B82+B86</f>
        <v>560897134958.8844</v>
      </c>
      <c r="C90" s="9">
        <f>+C13+C17+C21+C25++C29+C33+C37+C41+C46+C50+C54+C58+C62+C66+C70+C74+C78+C82+C86</f>
        <v>533255544083.39246</v>
      </c>
      <c r="D90" s="14">
        <f>+C90/B90</f>
        <v>0.95071896582691906</v>
      </c>
      <c r="E90" s="9">
        <f>+E13+E17+E21+E25++E29+E33+E37+E41+E46+E50+E54+E58+E62+E66+E70+E74+E78+E82+E86</f>
        <v>581903136923.6062</v>
      </c>
      <c r="F90" s="9">
        <f>+F13+F17+F21+F25++F29+F33+F37+F41+F46+F50+F54+F58+F62+F66+F70+F74+F78+F82+F86</f>
        <v>569145824175.62207</v>
      </c>
      <c r="G90" s="14">
        <f>+F90/E90</f>
        <v>0.97807656989885083</v>
      </c>
      <c r="H90" s="9">
        <f>+H13+H17+H25++H29+H33+H37+H41+H46+H50+H54+H58+H62+H66+H70+H74+H78+H82+H86</f>
        <v>797264119924.23706</v>
      </c>
      <c r="I90" s="9">
        <f>+I13+I17+I25++I29+I33+I37+I41+I46+I50+I54+I58+I62+I66+I70+I74+I78+I82+I86</f>
        <v>779025745301.32739</v>
      </c>
      <c r="J90" s="14">
        <f>+I90/H90</f>
        <v>0.97712379854163911</v>
      </c>
      <c r="K90" s="9">
        <f>+K13+K17+K25++K29+K33+K37+K41+K46+K50+K54+K58+K62+K66+K70+K74+K78+K82+K86</f>
        <v>713642634146.53992</v>
      </c>
      <c r="L90" s="9">
        <f>+L13+L17+L25++L29+L33+L37+L41+L46+L50+L54+L58+L62+L66+L70+L74+L78+L82+L86</f>
        <v>688150497979.89941</v>
      </c>
      <c r="M90" s="14">
        <f>+L90/K90</f>
        <v>0.9642788491790053</v>
      </c>
      <c r="N90" s="9">
        <f>+N13+N17+N25++N29+N33+N37+N41+N46+N50+N54+N58+N62+N66+N70+N74+N78+N82+N86</f>
        <v>440010438149.35999</v>
      </c>
      <c r="O90" s="9">
        <f>+O13+O17+O25++O29+O33+O37+O41+O46+O50+O54+O58+O62+O66+O70+O74+O78+O82+O86</f>
        <v>404948531872.33997</v>
      </c>
      <c r="P90" s="14">
        <f>+O90/N90</f>
        <v>0.92031573972543268</v>
      </c>
      <c r="Q90" s="9">
        <f>+Q13+Q17+Q25++Q29+Q33+Q37+Q41+Q46+Q50+Q54+Q58+Q62+Q66+Q70+Q74+Q78+Q82+Q86</f>
        <v>524603244671</v>
      </c>
      <c r="R90" s="9">
        <f>+R13+R17+R25++R29+R33+R37+R41+R46+R50+R54+R58+R62+R66+R70+R74+R78+R82+R86</f>
        <v>492475154295.87</v>
      </c>
      <c r="S90" s="14">
        <f>+R90/Q90</f>
        <v>0.93875735481720313</v>
      </c>
      <c r="T90" s="9">
        <f>+T13+T17+T25+T29+T33+T37+T41+T46+T50+T54+T58+T62+T66+T70+T74+T78+T82+T86</f>
        <v>641278484920</v>
      </c>
      <c r="U90" s="9">
        <f>+U13+U17+U25++U29+U33+U37+U41+U46+U50+U54+U58+U62+U66+U70+U74+U78+U82+U86</f>
        <v>600539619963.76001</v>
      </c>
      <c r="V90" s="14">
        <f>+U90/T90</f>
        <v>0.93647242825974086</v>
      </c>
      <c r="W90" s="9">
        <f>+W13+W17+W25++W29+W33+W37+W41+W46+W50+W54+W58+W62+W66+W70+W74+W78+W82+W86</f>
        <v>702261448385.5</v>
      </c>
      <c r="X90" s="9">
        <f>+X13+X17+X25++X29+X33+X37+X41+X46+X50+X54+X58+X62+X66+X70+X74+X78+X82+X86</f>
        <v>676703110104.13</v>
      </c>
      <c r="Y90" s="14">
        <f>+X90/W90</f>
        <v>0.96360566518334634</v>
      </c>
      <c r="Z90" s="9">
        <f>+Z13+Z17+Z25++Z29+Z33+Z37+Z41+Z46+Z50+Z54+Z58+Z62+Z66+Z70+Z74+Z78+Z82+Z86</f>
        <v>735793189933</v>
      </c>
      <c r="AA90" s="9">
        <f>+AA13+AA17+AA25++AA29+AA33+AA37+AA41+AA46+AA50+AA54+AA58+AA62+AA66+AA70+AA74+AA78+AA82+AA86</f>
        <v>720894436257.94006</v>
      </c>
      <c r="AB90" s="14">
        <f>+AA90/Z90</f>
        <v>0.97975143847632429</v>
      </c>
      <c r="AC90" s="9">
        <f>+AC13+AC17+AC25++AC29+AC33+AC37+AC41+AC46+AC50+AC54+AC58+AC62+AC66+AC70+AC74+AC78+AC82+AC86</f>
        <v>809534067348</v>
      </c>
      <c r="AD90" s="9">
        <f>+AD13+AD17+AD25++AD29+AD33+AD37+AD41+AD46+AD50+AD54+AD58+AD62+AD66+AD70+AD74+AD78+AD82+AD86</f>
        <v>798459638214.52014</v>
      </c>
      <c r="AE90" s="14">
        <f>+AD90/AC90</f>
        <v>0.98631999618032229</v>
      </c>
      <c r="AF90" s="9">
        <f>+AF13+AF17+AF25++AF29+AF33+AF37+AF41+AF46+AF50+AF54+AF58+AF62+AF66+AF70+AF74+AF78+AF82+AF86</f>
        <v>755169521750</v>
      </c>
      <c r="AG90" s="9">
        <f>+AG13+AG17+AG25++AG29+AG33+AG37+AG41+AG46+AG50+AG54+AG58+AG62+AG66+AG70+AG74+AG78+AG82+AG86</f>
        <v>721417960075.43005</v>
      </c>
      <c r="AH90" s="14">
        <f>+AG90/AF90</f>
        <v>0.95530598004491041</v>
      </c>
      <c r="AI90" s="9">
        <f>+AI13+AI17+AI25++AI29+AI33+AI37+AI41+AI46+AI50+AI54+AI58+AI62+AI66+AI70+AI74+AI78+AI82+AI86</f>
        <v>737824907394</v>
      </c>
      <c r="AK90" s="34"/>
    </row>
    <row r="91" spans="1:37" s="2" customFormat="1" x14ac:dyDescent="0.2">
      <c r="A91" s="28" t="s">
        <v>27</v>
      </c>
      <c r="B91" s="9">
        <f>+B42</f>
        <v>196430324014.85568</v>
      </c>
      <c r="C91" s="9">
        <f>+C42</f>
        <v>192137256843.76932</v>
      </c>
      <c r="D91" s="14">
        <v>0</v>
      </c>
      <c r="E91" s="9">
        <f>+E42</f>
        <v>184903623751.80243</v>
      </c>
      <c r="F91" s="9">
        <f>+F42</f>
        <v>177826845718.02005</v>
      </c>
      <c r="G91" s="14">
        <f>+F91/E91</f>
        <v>0.96172720744899198</v>
      </c>
      <c r="H91" s="9">
        <f>+H42</f>
        <v>259198516342.77182</v>
      </c>
      <c r="I91" s="9">
        <f>+I42</f>
        <v>212406513459.70105</v>
      </c>
      <c r="J91" s="14">
        <f>+I91/H91</f>
        <v>0.81947426419219305</v>
      </c>
      <c r="K91" s="9">
        <f>+K42</f>
        <v>308623288593.91205</v>
      </c>
      <c r="L91" s="9">
        <f>+L42</f>
        <v>306421223910.42529</v>
      </c>
      <c r="M91" s="14">
        <f>+L91/K91</f>
        <v>0.99286487842988336</v>
      </c>
      <c r="N91" s="9">
        <f>+N42</f>
        <v>203211613523</v>
      </c>
      <c r="O91" s="9">
        <f>+O42</f>
        <v>188860718188.41</v>
      </c>
      <c r="P91" s="14">
        <f>+O91/N91</f>
        <v>0.92937955126779348</v>
      </c>
      <c r="Q91" s="9">
        <f>+Q42</f>
        <v>216185105895</v>
      </c>
      <c r="R91" s="9">
        <f>+R42</f>
        <v>178761852826.66</v>
      </c>
      <c r="S91" s="14">
        <f>+R91/Q91</f>
        <v>0.82689254695225733</v>
      </c>
      <c r="T91" s="9">
        <f>+T42</f>
        <v>207566451885</v>
      </c>
      <c r="U91" s="9">
        <f>+U42</f>
        <v>173884948113.59</v>
      </c>
      <c r="V91" s="14">
        <f>+U91/T91</f>
        <v>0.83773146640252405</v>
      </c>
      <c r="W91" s="9">
        <f>+W42</f>
        <v>185155663995</v>
      </c>
      <c r="X91" s="9">
        <f>+X42</f>
        <v>184789951330.85001</v>
      </c>
      <c r="Y91" s="14">
        <f>+X91/W91</f>
        <v>0.99802483674407139</v>
      </c>
      <c r="Z91" s="9">
        <f>+Z42</f>
        <v>278436539622</v>
      </c>
      <c r="AA91" s="9">
        <f>+AA42</f>
        <v>277842412205.15997</v>
      </c>
      <c r="AB91" s="14">
        <f>+AA91/Z91</f>
        <v>0.9978662016930443</v>
      </c>
      <c r="AC91" s="9">
        <f>+AC42</f>
        <v>455237088680</v>
      </c>
      <c r="AD91" s="9">
        <f>+AD42</f>
        <v>413688596773.13</v>
      </c>
      <c r="AE91" s="14">
        <f>+AD91/AC91</f>
        <v>0.90873219045631037</v>
      </c>
      <c r="AF91" s="9">
        <f>+AF42</f>
        <v>471855217587.28998</v>
      </c>
      <c r="AG91" s="9">
        <f>+AG42</f>
        <v>465085538819.97998</v>
      </c>
      <c r="AH91" s="14">
        <f>+AG91/AF91</f>
        <v>0.98565305942376769</v>
      </c>
      <c r="AI91" s="9">
        <f>+AI42</f>
        <v>483325655359</v>
      </c>
      <c r="AK91" s="34"/>
    </row>
    <row r="92" spans="1:37" s="2" customFormat="1" x14ac:dyDescent="0.2">
      <c r="A92" s="28" t="s">
        <v>28</v>
      </c>
      <c r="B92" s="9">
        <f>+B14+B18+B22+B26+B30+B34+B38+B43+B47+B51+B55+B59+B63+B67+B71+B75+B79+B83+B87</f>
        <v>363026924710.35663</v>
      </c>
      <c r="C92" s="9">
        <f>+C14+C18+C22+C26+C30+C34+C38+C43+C47+C51+C55+C59+C63+C67+C71+C75+C79+C83+C87</f>
        <v>318967565181.80719</v>
      </c>
      <c r="D92" s="14">
        <f>+C92/B92</f>
        <v>0.87863335601428882</v>
      </c>
      <c r="E92" s="9">
        <f>+E14+E18+E22+E26+E30+E34+E38+E43+E47+E51+E55+E59+E63+E67+E71+E75+E79+E83+E87</f>
        <v>549273829627.875</v>
      </c>
      <c r="F92" s="9">
        <f>+F14+F18+F22+F26+F30+F34+F38+F43+F47+F51+F55+F59+F63+F67+F71+F75+F79+F83+F87</f>
        <v>521892702849.63367</v>
      </c>
      <c r="G92" s="14">
        <f>+F92/E92</f>
        <v>0.95015031610591816</v>
      </c>
      <c r="H92" s="9">
        <f>+H14+H18+H26+H30+H34+H38+H43+H47+H51+H55+H59+H63+H67+H71+H75+H79+H83+H87</f>
        <v>697509145327.96313</v>
      </c>
      <c r="I92" s="9">
        <f>+I14+I18+I26+I30+I34+I38+I43+I47+I51+I55+I59+I63+I67+I71+I75+I79+I83+I87</f>
        <v>678698466138.64111</v>
      </c>
      <c r="J92" s="14">
        <f>+I92/H92</f>
        <v>0.97303163791425651</v>
      </c>
      <c r="K92" s="9">
        <f>+K14+K18+K26+K30+K34+K38+K43+K47+K51+K55+K59+K63+K67+K71+K75+K79+K83+K87</f>
        <v>1077162571707.2141</v>
      </c>
      <c r="L92" s="9">
        <f>+L14+L18+L26+L30+L34+L38+L43+L47+L51+L55+L59+L63+L67+L71+L75+L79+L83+L87</f>
        <v>1046927992979.4513</v>
      </c>
      <c r="M92" s="14">
        <f>+L92/K92</f>
        <v>0.97193127618624597</v>
      </c>
      <c r="N92" s="9">
        <f>+N14+N18+N26+N30+N34+N38+N43+N47+N51+N55+N59+N63+N67+N71+N75+N79+N83+N87</f>
        <v>928017292626.5</v>
      </c>
      <c r="O92" s="9">
        <f>+O14+O18+O26+O30+O34+O38+O43+O47+O51+O55+O59+O63+O67+O71+O75+O79+O83+O87</f>
        <v>902938764893.53992</v>
      </c>
      <c r="P92" s="14">
        <f>+O92/N92</f>
        <v>0.97297622799465067</v>
      </c>
      <c r="Q92" s="9">
        <f>+Q14+Q18+Q26+Q30+Q34+Q38+Q43+Q47+Q51+Q55+Q59+Q63+Q67+Q71+Q75+Q79+Q83+Q87</f>
        <v>1239874289130</v>
      </c>
      <c r="R92" s="9">
        <f>+R14+R18+R26+R30+R34+R38+R43+R47+R51+R55+R59+R63+R67+R71+R75+R79+R83+R87</f>
        <v>1194229409821.2102</v>
      </c>
      <c r="S92" s="14">
        <f>+R92/Q92</f>
        <v>0.9631858812550923</v>
      </c>
      <c r="T92" s="9">
        <f>+T14+T18+T26+T30+T34+T38+T43+T47+T51+T55+T59+T63+T67+T71+T75+T79+T83+T87</f>
        <v>1644164568193</v>
      </c>
      <c r="U92" s="9">
        <f>+U14+U18+U26+U30+U34+U38+U43+U47+U51+U55+U59+U63+U67+U71+U75+U79+U83+U87</f>
        <v>1581437587718.76</v>
      </c>
      <c r="V92" s="14">
        <f>+U92/T92</f>
        <v>0.96184872141893962</v>
      </c>
      <c r="W92" s="9">
        <f>+W14+W18+W26+W30+W34+W38+W43+W47+W51+W55+W59+W63+W67+W71+W75+W79+W83+W87</f>
        <v>2572396446791</v>
      </c>
      <c r="X92" s="9">
        <f>+X14+X18+X26+X30+X34+X38+X43+X47+X51+X55+X59+X63+X67+X71+X75+X79+X83+X87</f>
        <v>2547302788933.4502</v>
      </c>
      <c r="Y92" s="14">
        <f>+X92/W92</f>
        <v>0.99024502701018202</v>
      </c>
      <c r="Z92" s="9">
        <f>+Z14+Z18+Z26+Z30+Z34+Z38+Z43+Z47+Z51+Z55+Z59+Z63+Z67+Z71+Z75+Z79+Z83+Z87</f>
        <v>2438201304867</v>
      </c>
      <c r="AA92" s="9">
        <f>+AA14+AA18+AA26+AA30+AA34+AA38+AA43+AA47+AA51+AA55+AA59+AA63+AA67+AA71+AA75+AA79+AA83+AA87</f>
        <v>2394918359453.6201</v>
      </c>
      <c r="AB92" s="14">
        <f>+AA92/Z92</f>
        <v>0.98224800170232829</v>
      </c>
      <c r="AC92" s="9">
        <f>+AC14+AC18+AC26+AC30+AC34+AC38+AC43+AC47+AC51+AC55+AC59+AC63+AC67+AC71+AC75+AC79+AC83+AC87</f>
        <v>1986677383636</v>
      </c>
      <c r="AD92" s="9">
        <f>+AD14+AD18+AD26+AD30+AD34+AD38+AD43+AD47+AD51+AD55+AD59+AD63+AD67+AD71+AD75+AD79+AD83+AD87</f>
        <v>1977579071819.5901</v>
      </c>
      <c r="AE92" s="14">
        <f>+AD92/AC92</f>
        <v>0.9954203375488383</v>
      </c>
      <c r="AF92" s="9">
        <f>+AF14+AF18+AF26+AF30+AF34+AF38+AF43+AF47+AF51+AF55+AF59+AF63+AF67+AF71+AF75+AF79+AF83+AF87</f>
        <v>2243255938154</v>
      </c>
      <c r="AG92" s="9">
        <f>+AG14+AG18+AG26+AG30+AG34+AG38+AG43+AG47+AG51+AG55+AG59+AG63+AG67+AG71+AG75+AG79+AG83+AG87</f>
        <v>2182564942223.1199</v>
      </c>
      <c r="AH92" s="14">
        <f>+AG92/AF92</f>
        <v>0.9729451308258551</v>
      </c>
      <c r="AI92" s="9">
        <f>+AI14+AI18+AI26+AI30+AI34+AI38+AI43+AI47+AI51+AI55+AI59+AI63+AI67+AI71+AI75+AI79+AI83+AI87</f>
        <v>2510435336984</v>
      </c>
      <c r="AK92" s="34"/>
    </row>
    <row r="93" spans="1:37" s="3" customFormat="1" x14ac:dyDescent="0.2">
      <c r="A93" s="29" t="s">
        <v>25</v>
      </c>
      <c r="B93" s="7">
        <f>SUM(B90:B92)</f>
        <v>1120354383684.0967</v>
      </c>
      <c r="C93" s="7">
        <f>SUM(C90:C92)</f>
        <v>1044360366108.969</v>
      </c>
      <c r="D93" s="6">
        <f>+C93/B93</f>
        <v>0.93216966106274857</v>
      </c>
      <c r="E93" s="7">
        <f>SUM(E90:E92)</f>
        <v>1316080590303.2837</v>
      </c>
      <c r="F93" s="7">
        <f>SUM(F90:F92)</f>
        <v>1268865372743.2759</v>
      </c>
      <c r="G93" s="6">
        <f>+F93/E93</f>
        <v>0.96412437208793778</v>
      </c>
      <c r="H93" s="7">
        <f>SUM(H90:H92)</f>
        <v>1753971781594.9722</v>
      </c>
      <c r="I93" s="7">
        <f>SUM(I90:I92)</f>
        <v>1670130724899.6694</v>
      </c>
      <c r="J93" s="6">
        <f>+I93/H93</f>
        <v>0.95219931268274915</v>
      </c>
      <c r="K93" s="7">
        <f>SUM(K90:K92)</f>
        <v>2099428494447.666</v>
      </c>
      <c r="L93" s="7">
        <f>SUM(L90:L92)</f>
        <v>2041499714869.7759</v>
      </c>
      <c r="M93" s="6">
        <f>+L93/K93</f>
        <v>0.97240735765419317</v>
      </c>
      <c r="N93" s="7">
        <f>SUM(N90:N92)</f>
        <v>1571239344298.8599</v>
      </c>
      <c r="O93" s="7">
        <f>SUM(O90:O92)</f>
        <v>1496748014954.29</v>
      </c>
      <c r="P93" s="6">
        <f>+O93/N93</f>
        <v>0.95259071788467065</v>
      </c>
      <c r="Q93" s="7">
        <f>SUM(Q90:Q92)</f>
        <v>1980662639696</v>
      </c>
      <c r="R93" s="7">
        <f>SUM(R90:R92)</f>
        <v>1865466416943.7402</v>
      </c>
      <c r="S93" s="6">
        <f>+R93/Q93</f>
        <v>0.9418395538727683</v>
      </c>
      <c r="T93" s="7">
        <f>SUM(T90:T92)</f>
        <v>2493009504998</v>
      </c>
      <c r="U93" s="7">
        <f>SUM(U90:U92)</f>
        <v>2355862155796.1099</v>
      </c>
      <c r="V93" s="6">
        <f>+U93/T93</f>
        <v>0.9449872337321874</v>
      </c>
      <c r="W93" s="7">
        <f>SUM(W90:W92)</f>
        <v>3459813559171.5</v>
      </c>
      <c r="X93" s="7">
        <f>SUM(X90:X92)</f>
        <v>3408795850368.4302</v>
      </c>
      <c r="Y93" s="6">
        <f>+X93/W93</f>
        <v>0.98525420288390142</v>
      </c>
      <c r="Z93" s="7">
        <f>SUM(Z90:Z92)</f>
        <v>3452431034422</v>
      </c>
      <c r="AA93" s="7">
        <f>SUM(AA90:AA92)</f>
        <v>3393655207916.7202</v>
      </c>
      <c r="AB93" s="6">
        <f>+AA93/Z93</f>
        <v>0.98297552480577788</v>
      </c>
      <c r="AC93" s="7">
        <f>SUM(AC90:AC92)</f>
        <v>3251448539664</v>
      </c>
      <c r="AD93" s="7">
        <f>SUM(AD90:AD92)</f>
        <v>3189727306807.2402</v>
      </c>
      <c r="AE93" s="6">
        <f>+AD93/AC93</f>
        <v>0.98101731209833698</v>
      </c>
      <c r="AF93" s="7">
        <f>SUM(AF90:AF92)</f>
        <v>3470280677491.29</v>
      </c>
      <c r="AG93" s="7">
        <f>SUM(AG90:AG92)</f>
        <v>3369068441118.5303</v>
      </c>
      <c r="AH93" s="6">
        <f>+AG93/AF93</f>
        <v>0.97083456763908582</v>
      </c>
      <c r="AI93" s="7">
        <f>SUM(AI90:AI92)</f>
        <v>3731585899737</v>
      </c>
      <c r="AK93" s="35"/>
    </row>
    <row r="94" spans="1:37" s="3" customFormat="1" x14ac:dyDescent="0.2">
      <c r="A94" s="11"/>
      <c r="B94" s="12"/>
      <c r="C94" s="12"/>
      <c r="D94" s="13"/>
      <c r="E94" s="12"/>
      <c r="F94" s="12"/>
      <c r="G94" s="13"/>
      <c r="H94" s="12"/>
      <c r="I94" s="12"/>
      <c r="J94" s="13"/>
      <c r="K94" s="12"/>
      <c r="L94" s="12"/>
      <c r="M94" s="13"/>
      <c r="N94" s="12"/>
      <c r="O94" s="12"/>
      <c r="P94" s="13"/>
      <c r="Q94" s="12"/>
      <c r="R94" s="12"/>
      <c r="S94" s="13"/>
      <c r="T94" s="12"/>
      <c r="U94" s="12"/>
      <c r="V94" s="13"/>
      <c r="W94" s="12"/>
      <c r="X94" s="12"/>
      <c r="Y94" s="13"/>
      <c r="Z94" s="12"/>
      <c r="AA94" s="12"/>
      <c r="AB94" s="13"/>
      <c r="AC94" s="12"/>
      <c r="AD94" s="12"/>
      <c r="AE94" s="13"/>
      <c r="AF94" s="12"/>
      <c r="AG94" s="12"/>
      <c r="AH94" s="13"/>
      <c r="AI94" s="12"/>
      <c r="AK94" s="35"/>
    </row>
    <row r="95" spans="1:37" s="2" customFormat="1" x14ac:dyDescent="0.2">
      <c r="A95" s="30" t="s">
        <v>33</v>
      </c>
      <c r="E95" s="24"/>
      <c r="F95" s="24"/>
      <c r="AI95" s="24"/>
      <c r="AK95" s="34"/>
    </row>
    <row r="96" spans="1:37" s="2" customFormat="1" x14ac:dyDescent="0.2">
      <c r="A96" s="30"/>
      <c r="E96" s="24"/>
      <c r="F96" s="24"/>
      <c r="AI96" s="24"/>
      <c r="AK96" s="34"/>
    </row>
    <row r="97" spans="1:37" s="2" customFormat="1" x14ac:dyDescent="0.2">
      <c r="E97" s="24"/>
      <c r="F97" s="24"/>
      <c r="AI97" s="24"/>
      <c r="AK97" s="34"/>
    </row>
    <row r="98" spans="1:37" s="2" customFormat="1" hidden="1" x14ac:dyDescent="0.2">
      <c r="E98" s="16" t="s">
        <v>31</v>
      </c>
      <c r="H98" s="16" t="s">
        <v>31</v>
      </c>
      <c r="K98" s="16" t="s">
        <v>31</v>
      </c>
      <c r="Q98" s="16" t="s">
        <v>31</v>
      </c>
      <c r="T98" s="16" t="s">
        <v>31</v>
      </c>
      <c r="W98" s="16" t="s">
        <v>31</v>
      </c>
      <c r="Z98" s="16" t="s">
        <v>31</v>
      </c>
      <c r="AC98" s="16" t="s">
        <v>31</v>
      </c>
      <c r="AF98" s="16" t="s">
        <v>31</v>
      </c>
      <c r="AI98" s="24"/>
      <c r="AK98" s="34"/>
    </row>
    <row r="99" spans="1:37" s="2" customFormat="1" hidden="1" x14ac:dyDescent="0.2">
      <c r="D99" s="8"/>
      <c r="G99" s="8"/>
      <c r="J99" s="8"/>
      <c r="M99" s="8"/>
      <c r="P99" s="8"/>
      <c r="S99" s="8"/>
      <c r="V99" s="8"/>
      <c r="Y99" s="8"/>
      <c r="AB99" s="8"/>
      <c r="AE99" s="8"/>
      <c r="AF99" s="32">
        <v>3470280677491.29</v>
      </c>
      <c r="AH99" s="8"/>
      <c r="AI99" s="24"/>
      <c r="AK99" s="34"/>
    </row>
    <row r="100" spans="1:37" s="3" customFormat="1" hidden="1" x14ac:dyDescent="0.2">
      <c r="B100" s="24">
        <v>565953170663.8844</v>
      </c>
      <c r="C100" s="24">
        <v>538171771673.62244</v>
      </c>
      <c r="E100" s="24">
        <v>590605507868.6062</v>
      </c>
      <c r="F100" s="24">
        <v>577838352342.33203</v>
      </c>
      <c r="AF100" s="26" t="e">
        <f>+AF93-#REF!</f>
        <v>#REF!</v>
      </c>
      <c r="AI100" s="25"/>
      <c r="AK100" s="35"/>
    </row>
    <row r="101" spans="1:37" s="2" customFormat="1" hidden="1" x14ac:dyDescent="0.2">
      <c r="B101" s="24">
        <f>+B91</f>
        <v>196430324014.85568</v>
      </c>
      <c r="C101" s="24">
        <f>+C91</f>
        <v>192137256843.76932</v>
      </c>
      <c r="E101" s="24">
        <f>+E91</f>
        <v>184903623751.80243</v>
      </c>
      <c r="F101" s="24">
        <f>+F91</f>
        <v>177826845718.02005</v>
      </c>
      <c r="AI101" s="24"/>
      <c r="AK101" s="34"/>
    </row>
    <row r="102" spans="1:37" s="2" customFormat="1" hidden="1" x14ac:dyDescent="0.2">
      <c r="B102" s="24">
        <f>+B92</f>
        <v>363026924710.35663</v>
      </c>
      <c r="C102" s="24">
        <f>+C92</f>
        <v>318967565181.80719</v>
      </c>
      <c r="D102" s="8"/>
      <c r="E102" s="24">
        <f>+E92</f>
        <v>549273829627.875</v>
      </c>
      <c r="F102" s="24">
        <f>+F92</f>
        <v>521892702849.63367</v>
      </c>
      <c r="G102" s="8"/>
      <c r="J102" s="8"/>
      <c r="M102" s="8"/>
      <c r="P102" s="8"/>
      <c r="S102" s="8"/>
      <c r="V102" s="8"/>
      <c r="Y102" s="8"/>
      <c r="AB102" s="8"/>
      <c r="AE102" s="8"/>
      <c r="AH102" s="8"/>
      <c r="AI102" s="24"/>
      <c r="AK102" s="34"/>
    </row>
    <row r="103" spans="1:37" s="2" customFormat="1" hidden="1" x14ac:dyDescent="0.2">
      <c r="A103" s="2" t="s">
        <v>29</v>
      </c>
      <c r="B103" s="25">
        <f>SUM(B100:B102)</f>
        <v>1125410419389.0967</v>
      </c>
      <c r="C103" s="25">
        <f>SUM(C100:C102)</f>
        <v>1049276593699.199</v>
      </c>
      <c r="E103" s="25">
        <f>SUM(E100:E102)</f>
        <v>1324782961248.2837</v>
      </c>
      <c r="F103" s="25">
        <f>SUM(F100:F102)</f>
        <v>1277557900909.9858</v>
      </c>
      <c r="AI103" s="24"/>
      <c r="AK103" s="34"/>
    </row>
    <row r="104" spans="1:37" s="2" customFormat="1" hidden="1" x14ac:dyDescent="0.2">
      <c r="A104" s="2" t="s">
        <v>30</v>
      </c>
      <c r="L104" s="3"/>
      <c r="AI104" s="24"/>
      <c r="AK104" s="34"/>
    </row>
    <row r="105" spans="1:37" s="17" customFormat="1" hidden="1" x14ac:dyDescent="0.2">
      <c r="B105" s="17">
        <f>278103933441-B103</f>
        <v>-847306485948.09668</v>
      </c>
      <c r="AI105" s="31"/>
      <c r="AK105" s="36"/>
    </row>
    <row r="106" spans="1:37" s="2" customFormat="1" hidden="1" x14ac:dyDescent="0.2">
      <c r="A106" s="3" t="s">
        <v>36</v>
      </c>
      <c r="B106" s="3"/>
      <c r="C106" s="3"/>
      <c r="L106" s="3"/>
      <c r="AF106" s="22"/>
      <c r="AG106" s="22"/>
      <c r="AI106" s="24"/>
      <c r="AK106" s="34"/>
    </row>
    <row r="107" spans="1:37" s="2" customFormat="1" hidden="1" x14ac:dyDescent="0.2">
      <c r="A107" s="9" t="s">
        <v>0</v>
      </c>
      <c r="B107" s="3"/>
      <c r="C107" s="3"/>
      <c r="L107" s="3"/>
      <c r="AF107" s="34">
        <v>43438790302</v>
      </c>
      <c r="AG107" s="34">
        <v>40951913272.989998</v>
      </c>
      <c r="AI107" s="24"/>
      <c r="AK107" s="34"/>
    </row>
    <row r="108" spans="1:37" s="2" customFormat="1" hidden="1" x14ac:dyDescent="0.2">
      <c r="A108" s="9" t="s">
        <v>1</v>
      </c>
      <c r="B108" s="3"/>
      <c r="C108" s="3"/>
      <c r="L108" s="3"/>
      <c r="AF108" s="34">
        <v>0</v>
      </c>
      <c r="AG108" s="34">
        <v>0</v>
      </c>
      <c r="AI108" s="24"/>
      <c r="AK108" s="34"/>
    </row>
    <row r="109" spans="1:37" s="2" customFormat="1" hidden="1" x14ac:dyDescent="0.2">
      <c r="A109" s="2" t="s">
        <v>23</v>
      </c>
      <c r="B109" s="3"/>
      <c r="C109" s="3"/>
      <c r="L109" s="3"/>
      <c r="AF109" s="34">
        <v>19400012689</v>
      </c>
      <c r="AG109" s="34">
        <v>19097388851.759998</v>
      </c>
      <c r="AI109" s="24"/>
      <c r="AK109" s="34"/>
    </row>
    <row r="110" spans="1:37" s="2" customFormat="1" hidden="1" x14ac:dyDescent="0.2">
      <c r="A110" s="3" t="s">
        <v>37</v>
      </c>
      <c r="Q110" s="3"/>
      <c r="AF110" s="34"/>
      <c r="AG110" s="34"/>
      <c r="AI110" s="24"/>
      <c r="AK110" s="34"/>
    </row>
    <row r="111" spans="1:37" s="2" customFormat="1" hidden="1" x14ac:dyDescent="0.2">
      <c r="A111" s="9" t="s">
        <v>0</v>
      </c>
      <c r="Q111" s="3"/>
      <c r="AF111" s="34">
        <v>264329179366</v>
      </c>
      <c r="AG111" s="34">
        <v>247790587662</v>
      </c>
      <c r="AI111" s="24"/>
      <c r="AK111" s="34"/>
    </row>
    <row r="112" spans="1:37" s="2" customFormat="1" hidden="1" x14ac:dyDescent="0.2">
      <c r="A112" s="9" t="s">
        <v>1</v>
      </c>
      <c r="Q112" s="3"/>
      <c r="AF112" s="34">
        <v>0</v>
      </c>
      <c r="AG112" s="34">
        <v>0</v>
      </c>
      <c r="AI112" s="24"/>
      <c r="AK112" s="34"/>
    </row>
    <row r="113" spans="1:37" s="2" customFormat="1" hidden="1" x14ac:dyDescent="0.2">
      <c r="A113" s="2" t="s">
        <v>23</v>
      </c>
      <c r="Q113" s="3"/>
      <c r="AF113" s="34">
        <v>1053807922454</v>
      </c>
      <c r="AG113" s="34">
        <v>1017494247771</v>
      </c>
      <c r="AI113" s="24"/>
      <c r="AK113" s="34"/>
    </row>
    <row r="114" spans="1:37" s="2" customFormat="1" hidden="1" x14ac:dyDescent="0.2">
      <c r="A114" s="3" t="s">
        <v>38</v>
      </c>
      <c r="B114" s="3"/>
      <c r="C114" s="3"/>
      <c r="L114" s="3"/>
      <c r="AF114" s="34"/>
      <c r="AG114" s="34"/>
      <c r="AI114" s="24"/>
      <c r="AK114" s="34"/>
    </row>
    <row r="115" spans="1:37" s="2" customFormat="1" hidden="1" x14ac:dyDescent="0.2">
      <c r="A115" s="9" t="s">
        <v>0</v>
      </c>
      <c r="B115" s="3"/>
      <c r="C115" s="3"/>
      <c r="L115" s="3"/>
      <c r="AF115" s="34">
        <v>159522769643</v>
      </c>
      <c r="AG115" s="34">
        <v>157686651245</v>
      </c>
      <c r="AI115" s="24"/>
      <c r="AK115" s="34"/>
    </row>
    <row r="116" spans="1:37" s="2" customFormat="1" hidden="1" x14ac:dyDescent="0.2">
      <c r="A116" s="9" t="s">
        <v>1</v>
      </c>
      <c r="B116" s="3"/>
      <c r="C116" s="3"/>
      <c r="L116" s="3"/>
      <c r="AF116" s="34">
        <v>471855217587.28998</v>
      </c>
      <c r="AG116" s="34">
        <v>465085538819.97998</v>
      </c>
      <c r="AI116" s="24"/>
      <c r="AK116" s="34"/>
    </row>
    <row r="117" spans="1:37" s="2" customFormat="1" hidden="1" x14ac:dyDescent="0.2">
      <c r="A117" s="2" t="s">
        <v>23</v>
      </c>
      <c r="B117" s="3"/>
      <c r="C117" s="3"/>
      <c r="L117" s="3"/>
      <c r="AF117" s="34">
        <v>0</v>
      </c>
      <c r="AG117" s="34">
        <v>0</v>
      </c>
      <c r="AI117" s="24"/>
      <c r="AK117" s="34"/>
    </row>
    <row r="118" spans="1:37" s="2" customFormat="1" hidden="1" x14ac:dyDescent="0.2">
      <c r="A118" s="3" t="s">
        <v>39</v>
      </c>
      <c r="AF118" s="34"/>
      <c r="AG118" s="34"/>
      <c r="AI118" s="24"/>
      <c r="AK118" s="34"/>
    </row>
    <row r="119" spans="1:37" s="2" customFormat="1" hidden="1" x14ac:dyDescent="0.2">
      <c r="A119" s="9" t="s">
        <v>0</v>
      </c>
      <c r="AF119" s="34">
        <v>8208293325</v>
      </c>
      <c r="AG119" s="34">
        <v>8035085741.7600002</v>
      </c>
      <c r="AI119" s="24"/>
      <c r="AK119" s="34"/>
    </row>
    <row r="120" spans="1:37" s="2" customFormat="1" hidden="1" x14ac:dyDescent="0.2">
      <c r="A120" s="9" t="s">
        <v>1</v>
      </c>
      <c r="AF120" s="34">
        <v>0</v>
      </c>
      <c r="AG120" s="34">
        <v>0</v>
      </c>
      <c r="AI120" s="24"/>
      <c r="AK120" s="34"/>
    </row>
    <row r="121" spans="1:37" s="2" customFormat="1" hidden="1" x14ac:dyDescent="0.2">
      <c r="A121" s="2" t="s">
        <v>23</v>
      </c>
      <c r="AF121" s="34">
        <v>70000000</v>
      </c>
      <c r="AG121" s="34">
        <v>68333416</v>
      </c>
      <c r="AI121" s="24"/>
      <c r="AK121" s="34"/>
    </row>
    <row r="122" spans="1:37" s="2" customFormat="1" hidden="1" x14ac:dyDescent="0.2">
      <c r="A122" s="3" t="s">
        <v>40</v>
      </c>
      <c r="AF122" s="34"/>
      <c r="AG122" s="34"/>
      <c r="AI122" s="24"/>
      <c r="AK122" s="34"/>
    </row>
    <row r="123" spans="1:37" s="2" customFormat="1" hidden="1" x14ac:dyDescent="0.2">
      <c r="A123" s="7" t="s">
        <v>0</v>
      </c>
      <c r="AF123" s="34">
        <f t="shared" ref="AF123:AG125" si="1">+AF107+AF111+AF115+AF119</f>
        <v>475499032636</v>
      </c>
      <c r="AG123" s="34">
        <f t="shared" si="1"/>
        <v>454464237921.75</v>
      </c>
      <c r="AI123" s="24"/>
      <c r="AK123" s="34"/>
    </row>
    <row r="124" spans="1:37" s="2" customFormat="1" hidden="1" x14ac:dyDescent="0.2">
      <c r="A124" s="7" t="s">
        <v>1</v>
      </c>
      <c r="AF124" s="34">
        <f t="shared" si="1"/>
        <v>471855217587.28998</v>
      </c>
      <c r="AG124" s="34">
        <f t="shared" si="1"/>
        <v>465085538819.97998</v>
      </c>
      <c r="AI124" s="24"/>
      <c r="AK124" s="34"/>
    </row>
    <row r="125" spans="1:37" s="2" customFormat="1" hidden="1" x14ac:dyDescent="0.2">
      <c r="A125" s="3" t="s">
        <v>23</v>
      </c>
      <c r="AF125" s="34">
        <f t="shared" si="1"/>
        <v>1073277935143</v>
      </c>
      <c r="AG125" s="34">
        <f t="shared" si="1"/>
        <v>1036659970038.76</v>
      </c>
      <c r="AI125" s="24"/>
      <c r="AK125" s="34"/>
    </row>
    <row r="126" spans="1:37" s="2" customFormat="1" hidden="1" x14ac:dyDescent="0.2">
      <c r="AF126" s="37">
        <f>SUM(AF123:AF125)</f>
        <v>2020632185366.29</v>
      </c>
      <c r="AG126" s="37">
        <f>SUM(AG123:AG125)</f>
        <v>1956209746780.49</v>
      </c>
      <c r="AI126" s="24"/>
      <c r="AK126" s="34"/>
    </row>
    <row r="127" spans="1:37" s="2" customFormat="1" x14ac:dyDescent="0.2">
      <c r="AF127" s="34"/>
      <c r="AG127" s="34"/>
      <c r="AI127" s="24"/>
      <c r="AK127" s="34"/>
    </row>
    <row r="128" spans="1:37" s="2" customFormat="1" x14ac:dyDescent="0.2">
      <c r="AF128" s="34"/>
      <c r="AG128" s="34"/>
      <c r="AI128" s="24"/>
      <c r="AK128" s="34"/>
    </row>
    <row r="129" spans="32:37" s="2" customFormat="1" x14ac:dyDescent="0.2">
      <c r="AF129" s="34"/>
      <c r="AG129" s="34"/>
      <c r="AI129" s="24"/>
      <c r="AK129" s="34"/>
    </row>
    <row r="130" spans="32:37" s="2" customFormat="1" x14ac:dyDescent="0.2">
      <c r="AF130" s="34"/>
      <c r="AG130" s="34"/>
      <c r="AI130" s="24"/>
      <c r="AK130" s="34"/>
    </row>
    <row r="131" spans="32:37" s="2" customFormat="1" x14ac:dyDescent="0.2">
      <c r="AI131" s="24"/>
      <c r="AK131" s="34"/>
    </row>
    <row r="132" spans="32:37" s="2" customFormat="1" x14ac:dyDescent="0.2">
      <c r="AI132" s="24"/>
      <c r="AK132" s="34"/>
    </row>
    <row r="133" spans="32:37" s="2" customFormat="1" x14ac:dyDescent="0.2">
      <c r="AI133" s="24"/>
      <c r="AK133" s="34"/>
    </row>
    <row r="134" spans="32:37" s="2" customFormat="1" x14ac:dyDescent="0.2">
      <c r="AI134" s="24"/>
      <c r="AK134" s="34"/>
    </row>
    <row r="135" spans="32:37" s="2" customFormat="1" x14ac:dyDescent="0.2">
      <c r="AI135" s="24"/>
      <c r="AK135" s="34"/>
    </row>
    <row r="136" spans="32:37" s="2" customFormat="1" x14ac:dyDescent="0.2">
      <c r="AI136" s="24"/>
      <c r="AK136" s="34"/>
    </row>
    <row r="137" spans="32:37" s="2" customFormat="1" x14ac:dyDescent="0.2">
      <c r="AI137" s="24"/>
      <c r="AK137" s="34"/>
    </row>
    <row r="138" spans="32:37" s="2" customFormat="1" x14ac:dyDescent="0.2">
      <c r="AI138" s="24"/>
      <c r="AK138" s="34"/>
    </row>
    <row r="139" spans="32:37" s="2" customFormat="1" x14ac:dyDescent="0.2">
      <c r="AI139" s="24"/>
      <c r="AK139" s="34"/>
    </row>
    <row r="140" spans="32:37" s="2" customFormat="1" x14ac:dyDescent="0.2">
      <c r="AI140" s="24"/>
      <c r="AK140" s="34"/>
    </row>
    <row r="141" spans="32:37" s="2" customFormat="1" x14ac:dyDescent="0.2">
      <c r="AI141" s="24"/>
      <c r="AK141" s="34"/>
    </row>
    <row r="142" spans="32:37" s="2" customFormat="1" x14ac:dyDescent="0.2">
      <c r="AI142" s="24"/>
      <c r="AK142" s="34"/>
    </row>
    <row r="143" spans="32:37" s="2" customFormat="1" x14ac:dyDescent="0.2">
      <c r="AI143" s="24"/>
      <c r="AK143" s="34"/>
    </row>
    <row r="144" spans="32:37" s="2" customFormat="1" x14ac:dyDescent="0.2">
      <c r="AI144" s="24"/>
      <c r="AK144" s="34"/>
    </row>
    <row r="145" spans="35:37" s="2" customFormat="1" x14ac:dyDescent="0.2">
      <c r="AI145" s="24"/>
      <c r="AK145" s="34"/>
    </row>
    <row r="146" spans="35:37" s="2" customFormat="1" x14ac:dyDescent="0.2">
      <c r="AI146" s="24"/>
      <c r="AK146" s="34"/>
    </row>
    <row r="147" spans="35:37" s="2" customFormat="1" x14ac:dyDescent="0.2">
      <c r="AI147" s="24"/>
      <c r="AK147" s="34"/>
    </row>
    <row r="148" spans="35:37" s="2" customFormat="1" x14ac:dyDescent="0.2">
      <c r="AI148" s="24"/>
      <c r="AK148" s="34"/>
    </row>
    <row r="149" spans="35:37" s="2" customFormat="1" x14ac:dyDescent="0.2">
      <c r="AI149" s="24"/>
      <c r="AK149" s="34"/>
    </row>
    <row r="150" spans="35:37" s="2" customFormat="1" x14ac:dyDescent="0.2">
      <c r="AI150" s="24"/>
      <c r="AK150" s="34"/>
    </row>
    <row r="151" spans="35:37" s="2" customFormat="1" x14ac:dyDescent="0.2">
      <c r="AI151" s="24"/>
      <c r="AK151" s="34"/>
    </row>
    <row r="152" spans="35:37" s="2" customFormat="1" x14ac:dyDescent="0.2">
      <c r="AI152" s="24"/>
      <c r="AK152" s="34"/>
    </row>
    <row r="153" spans="35:37" s="2" customFormat="1" x14ac:dyDescent="0.2">
      <c r="AI153" s="24"/>
      <c r="AK153" s="34"/>
    </row>
    <row r="154" spans="35:37" s="2" customFormat="1" x14ac:dyDescent="0.2">
      <c r="AI154" s="24"/>
      <c r="AK154" s="34"/>
    </row>
    <row r="155" spans="35:37" s="2" customFormat="1" x14ac:dyDescent="0.2">
      <c r="AI155" s="24"/>
      <c r="AK155" s="34"/>
    </row>
    <row r="156" spans="35:37" s="2" customFormat="1" x14ac:dyDescent="0.2">
      <c r="AI156" s="24"/>
      <c r="AK156" s="34"/>
    </row>
    <row r="157" spans="35:37" s="2" customFormat="1" x14ac:dyDescent="0.2">
      <c r="AI157" s="24"/>
      <c r="AK157" s="34"/>
    </row>
    <row r="158" spans="35:37" s="2" customFormat="1" x14ac:dyDescent="0.2">
      <c r="AI158" s="24"/>
      <c r="AK158" s="34"/>
    </row>
    <row r="159" spans="35:37" s="2" customFormat="1" x14ac:dyDescent="0.2">
      <c r="AI159" s="24"/>
      <c r="AK159" s="34"/>
    </row>
    <row r="160" spans="35:37" s="2" customFormat="1" x14ac:dyDescent="0.2">
      <c r="AI160" s="24"/>
      <c r="AK160" s="34"/>
    </row>
    <row r="161" spans="35:37" s="2" customFormat="1" x14ac:dyDescent="0.2">
      <c r="AI161" s="24"/>
      <c r="AK161" s="34"/>
    </row>
    <row r="162" spans="35:37" s="2" customFormat="1" x14ac:dyDescent="0.2">
      <c r="AI162" s="24"/>
      <c r="AK162" s="34"/>
    </row>
    <row r="163" spans="35:37" s="2" customFormat="1" x14ac:dyDescent="0.2">
      <c r="AI163" s="24"/>
      <c r="AK163" s="34"/>
    </row>
    <row r="164" spans="35:37" s="2" customFormat="1" x14ac:dyDescent="0.2">
      <c r="AI164" s="24"/>
      <c r="AK164" s="34"/>
    </row>
    <row r="165" spans="35:37" s="2" customFormat="1" x14ac:dyDescent="0.2">
      <c r="AI165" s="24"/>
      <c r="AK165" s="34"/>
    </row>
    <row r="166" spans="35:37" s="2" customFormat="1" x14ac:dyDescent="0.2">
      <c r="AI166" s="24"/>
      <c r="AK166" s="34"/>
    </row>
    <row r="167" spans="35:37" s="2" customFormat="1" x14ac:dyDescent="0.2">
      <c r="AI167" s="24"/>
      <c r="AK167" s="34"/>
    </row>
    <row r="168" spans="35:37" s="2" customFormat="1" x14ac:dyDescent="0.2">
      <c r="AI168" s="24"/>
      <c r="AK168" s="34"/>
    </row>
    <row r="169" spans="35:37" s="2" customFormat="1" x14ac:dyDescent="0.2">
      <c r="AI169" s="24"/>
      <c r="AK169" s="34"/>
    </row>
    <row r="170" spans="35:37" s="2" customFormat="1" x14ac:dyDescent="0.2">
      <c r="AI170" s="24"/>
      <c r="AK170" s="34"/>
    </row>
    <row r="171" spans="35:37" s="2" customFormat="1" x14ac:dyDescent="0.2">
      <c r="AI171" s="24"/>
      <c r="AK171" s="34"/>
    </row>
    <row r="172" spans="35:37" s="2" customFormat="1" x14ac:dyDescent="0.2">
      <c r="AI172" s="24"/>
      <c r="AK172" s="34"/>
    </row>
    <row r="173" spans="35:37" s="2" customFormat="1" x14ac:dyDescent="0.2">
      <c r="AI173" s="24"/>
      <c r="AK173" s="34"/>
    </row>
    <row r="174" spans="35:37" s="2" customFormat="1" x14ac:dyDescent="0.2">
      <c r="AI174" s="24"/>
      <c r="AK174" s="34"/>
    </row>
    <row r="175" spans="35:37" s="2" customFormat="1" x14ac:dyDescent="0.2">
      <c r="AI175" s="24"/>
      <c r="AK175" s="34"/>
    </row>
    <row r="176" spans="35:37" s="2" customFormat="1" x14ac:dyDescent="0.2">
      <c r="AI176" s="24"/>
      <c r="AK176" s="34"/>
    </row>
    <row r="177" spans="35:37" s="2" customFormat="1" x14ac:dyDescent="0.2">
      <c r="AI177" s="24"/>
      <c r="AK177" s="34"/>
    </row>
    <row r="178" spans="35:37" s="2" customFormat="1" x14ac:dyDescent="0.2">
      <c r="AI178" s="24"/>
      <c r="AK178" s="34"/>
    </row>
    <row r="179" spans="35:37" s="2" customFormat="1" x14ac:dyDescent="0.2">
      <c r="AI179" s="24"/>
      <c r="AK179" s="34"/>
    </row>
    <row r="180" spans="35:37" s="2" customFormat="1" x14ac:dyDescent="0.2">
      <c r="AI180" s="24"/>
      <c r="AK180" s="34"/>
    </row>
    <row r="181" spans="35:37" s="2" customFormat="1" x14ac:dyDescent="0.2">
      <c r="AI181" s="24"/>
      <c r="AK181" s="34"/>
    </row>
    <row r="182" spans="35:37" s="2" customFormat="1" x14ac:dyDescent="0.2">
      <c r="AI182" s="24"/>
      <c r="AK182" s="34"/>
    </row>
    <row r="183" spans="35:37" s="2" customFormat="1" x14ac:dyDescent="0.2">
      <c r="AI183" s="24"/>
      <c r="AK183" s="34"/>
    </row>
    <row r="184" spans="35:37" s="2" customFormat="1" x14ac:dyDescent="0.2">
      <c r="AI184" s="24"/>
      <c r="AK184" s="34"/>
    </row>
    <row r="185" spans="35:37" s="2" customFormat="1" x14ac:dyDescent="0.2">
      <c r="AI185" s="24"/>
      <c r="AK185" s="34"/>
    </row>
    <row r="186" spans="35:37" s="2" customFormat="1" x14ac:dyDescent="0.2">
      <c r="AI186" s="24"/>
      <c r="AK186" s="34"/>
    </row>
    <row r="187" spans="35:37" s="2" customFormat="1" x14ac:dyDescent="0.2">
      <c r="AI187" s="24"/>
      <c r="AK187" s="34"/>
    </row>
    <row r="188" spans="35:37" s="2" customFormat="1" x14ac:dyDescent="0.2">
      <c r="AI188" s="24"/>
      <c r="AK188" s="34"/>
    </row>
    <row r="189" spans="35:37" s="2" customFormat="1" x14ac:dyDescent="0.2">
      <c r="AI189" s="24"/>
      <c r="AK189" s="34"/>
    </row>
    <row r="190" spans="35:37" s="2" customFormat="1" x14ac:dyDescent="0.2">
      <c r="AI190" s="24"/>
      <c r="AK190" s="34"/>
    </row>
    <row r="191" spans="35:37" s="2" customFormat="1" x14ac:dyDescent="0.2">
      <c r="AI191" s="24"/>
      <c r="AK191" s="34"/>
    </row>
    <row r="192" spans="35:37" s="2" customFormat="1" x14ac:dyDescent="0.2">
      <c r="AI192" s="24"/>
      <c r="AK192" s="34"/>
    </row>
    <row r="193" spans="35:37" s="2" customFormat="1" x14ac:dyDescent="0.2">
      <c r="AI193" s="24"/>
      <c r="AK193" s="34"/>
    </row>
    <row r="194" spans="35:37" s="2" customFormat="1" x14ac:dyDescent="0.2">
      <c r="AI194" s="24"/>
      <c r="AK194" s="34"/>
    </row>
    <row r="195" spans="35:37" s="2" customFormat="1" x14ac:dyDescent="0.2">
      <c r="AI195" s="24"/>
      <c r="AK195" s="34"/>
    </row>
    <row r="196" spans="35:37" s="2" customFormat="1" x14ac:dyDescent="0.2">
      <c r="AI196" s="24"/>
      <c r="AK196" s="34"/>
    </row>
    <row r="197" spans="35:37" s="2" customFormat="1" x14ac:dyDescent="0.2">
      <c r="AI197" s="24"/>
      <c r="AK197" s="34"/>
    </row>
    <row r="198" spans="35:37" s="2" customFormat="1" x14ac:dyDescent="0.2">
      <c r="AI198" s="24"/>
      <c r="AK198" s="34"/>
    </row>
    <row r="199" spans="35:37" s="2" customFormat="1" x14ac:dyDescent="0.2">
      <c r="AI199" s="24"/>
      <c r="AK199" s="34"/>
    </row>
    <row r="200" spans="35:37" s="2" customFormat="1" x14ac:dyDescent="0.2">
      <c r="AI200" s="24"/>
      <c r="AK200" s="34"/>
    </row>
    <row r="201" spans="35:37" s="2" customFormat="1" x14ac:dyDescent="0.2">
      <c r="AI201" s="24"/>
      <c r="AK201" s="34"/>
    </row>
    <row r="202" spans="35:37" s="2" customFormat="1" x14ac:dyDescent="0.2">
      <c r="AI202" s="24"/>
      <c r="AK202" s="34"/>
    </row>
    <row r="203" spans="35:37" s="2" customFormat="1" x14ac:dyDescent="0.2">
      <c r="AI203" s="24"/>
      <c r="AK203" s="34"/>
    </row>
    <row r="204" spans="35:37" s="2" customFormat="1" x14ac:dyDescent="0.2">
      <c r="AI204" s="24"/>
      <c r="AK204" s="34"/>
    </row>
    <row r="205" spans="35:37" s="2" customFormat="1" x14ac:dyDescent="0.2">
      <c r="AI205" s="24"/>
      <c r="AK205" s="34"/>
    </row>
    <row r="206" spans="35:37" s="2" customFormat="1" x14ac:dyDescent="0.2">
      <c r="AI206" s="24"/>
      <c r="AK206" s="34"/>
    </row>
    <row r="207" spans="35:37" s="2" customFormat="1" x14ac:dyDescent="0.2">
      <c r="AI207" s="24"/>
      <c r="AK207" s="34"/>
    </row>
    <row r="208" spans="35:37" s="2" customFormat="1" x14ac:dyDescent="0.2">
      <c r="AI208" s="24"/>
      <c r="AK208" s="34"/>
    </row>
    <row r="209" spans="35:37" s="2" customFormat="1" x14ac:dyDescent="0.2">
      <c r="AI209" s="24"/>
      <c r="AK209" s="34"/>
    </row>
    <row r="210" spans="35:37" s="2" customFormat="1" x14ac:dyDescent="0.2">
      <c r="AI210" s="24"/>
      <c r="AK210" s="34"/>
    </row>
    <row r="211" spans="35:37" s="2" customFormat="1" x14ac:dyDescent="0.2">
      <c r="AI211" s="24"/>
      <c r="AK211" s="34"/>
    </row>
    <row r="212" spans="35:37" s="2" customFormat="1" x14ac:dyDescent="0.2">
      <c r="AI212" s="24"/>
      <c r="AK212" s="34"/>
    </row>
    <row r="213" spans="35:37" s="2" customFormat="1" x14ac:dyDescent="0.2">
      <c r="AI213" s="24"/>
      <c r="AK213" s="34"/>
    </row>
    <row r="214" spans="35:37" s="2" customFormat="1" x14ac:dyDescent="0.2">
      <c r="AI214" s="24"/>
      <c r="AK214" s="34"/>
    </row>
    <row r="215" spans="35:37" s="2" customFormat="1" x14ac:dyDescent="0.2">
      <c r="AI215" s="24"/>
      <c r="AK215" s="34"/>
    </row>
    <row r="216" spans="35:37" s="2" customFormat="1" x14ac:dyDescent="0.2">
      <c r="AI216" s="24"/>
      <c r="AK216" s="34"/>
    </row>
    <row r="217" spans="35:37" s="2" customFormat="1" x14ac:dyDescent="0.2">
      <c r="AI217" s="24"/>
      <c r="AK217" s="34"/>
    </row>
    <row r="218" spans="35:37" s="2" customFormat="1" x14ac:dyDescent="0.2">
      <c r="AI218" s="24"/>
      <c r="AK218" s="34"/>
    </row>
    <row r="219" spans="35:37" s="2" customFormat="1" x14ac:dyDescent="0.2">
      <c r="AI219" s="24"/>
      <c r="AK219" s="34"/>
    </row>
    <row r="220" spans="35:37" s="2" customFormat="1" x14ac:dyDescent="0.2">
      <c r="AI220" s="24"/>
      <c r="AK220" s="34"/>
    </row>
    <row r="221" spans="35:37" s="2" customFormat="1" x14ac:dyDescent="0.2">
      <c r="AK221" s="34"/>
    </row>
    <row r="222" spans="35:37" s="2" customFormat="1" x14ac:dyDescent="0.2">
      <c r="AK222" s="34"/>
    </row>
    <row r="223" spans="35:37" s="2" customFormat="1" x14ac:dyDescent="0.2">
      <c r="AK223" s="34"/>
    </row>
    <row r="224" spans="35:37" s="2" customFormat="1" x14ac:dyDescent="0.2">
      <c r="AK224" s="34"/>
    </row>
    <row r="225" spans="37:37" s="2" customFormat="1" x14ac:dyDescent="0.2">
      <c r="AK225" s="34"/>
    </row>
    <row r="226" spans="37:37" s="2" customFormat="1" x14ac:dyDescent="0.2">
      <c r="AK226" s="34"/>
    </row>
    <row r="227" spans="37:37" s="2" customFormat="1" x14ac:dyDescent="0.2">
      <c r="AK227" s="34"/>
    </row>
    <row r="228" spans="37:37" s="2" customFormat="1" x14ac:dyDescent="0.2">
      <c r="AK228" s="34"/>
    </row>
    <row r="229" spans="37:37" s="2" customFormat="1" x14ac:dyDescent="0.2">
      <c r="AK229" s="34"/>
    </row>
    <row r="230" spans="37:37" s="2" customFormat="1" x14ac:dyDescent="0.2">
      <c r="AK230" s="34"/>
    </row>
    <row r="231" spans="37:37" s="2" customFormat="1" x14ac:dyDescent="0.2">
      <c r="AK231" s="34"/>
    </row>
    <row r="232" spans="37:37" s="2" customFormat="1" x14ac:dyDescent="0.2">
      <c r="AK232" s="34"/>
    </row>
    <row r="233" spans="37:37" s="2" customFormat="1" x14ac:dyDescent="0.2">
      <c r="AK233" s="34"/>
    </row>
    <row r="234" spans="37:37" s="2" customFormat="1" x14ac:dyDescent="0.2">
      <c r="AK234" s="34"/>
    </row>
    <row r="235" spans="37:37" s="2" customFormat="1" x14ac:dyDescent="0.2">
      <c r="AK235" s="34"/>
    </row>
    <row r="236" spans="37:37" s="2" customFormat="1" x14ac:dyDescent="0.2">
      <c r="AK236" s="34"/>
    </row>
    <row r="237" spans="37:37" s="2" customFormat="1" x14ac:dyDescent="0.2">
      <c r="AK237" s="34"/>
    </row>
    <row r="238" spans="37:37" s="2" customFormat="1" x14ac:dyDescent="0.2">
      <c r="AK238" s="34"/>
    </row>
    <row r="239" spans="37:37" s="2" customFormat="1" x14ac:dyDescent="0.2">
      <c r="AK239" s="34"/>
    </row>
    <row r="240" spans="37:37" s="2" customFormat="1" x14ac:dyDescent="0.2">
      <c r="AK240" s="34"/>
    </row>
    <row r="241" spans="37:37" s="2" customFormat="1" x14ac:dyDescent="0.2">
      <c r="AK241" s="34"/>
    </row>
    <row r="242" spans="37:37" s="2" customFormat="1" x14ac:dyDescent="0.2">
      <c r="AK242" s="34"/>
    </row>
    <row r="243" spans="37:37" s="2" customFormat="1" x14ac:dyDescent="0.2">
      <c r="AK243" s="34"/>
    </row>
    <row r="244" spans="37:37" s="2" customFormat="1" x14ac:dyDescent="0.2">
      <c r="AK244" s="34"/>
    </row>
    <row r="245" spans="37:37" s="2" customFormat="1" x14ac:dyDescent="0.2">
      <c r="AK245" s="34"/>
    </row>
    <row r="246" spans="37:37" s="2" customFormat="1" x14ac:dyDescent="0.2">
      <c r="AK246" s="34"/>
    </row>
    <row r="247" spans="37:37" s="2" customFormat="1" x14ac:dyDescent="0.2">
      <c r="AK247" s="34"/>
    </row>
    <row r="248" spans="37:37" s="2" customFormat="1" x14ac:dyDescent="0.2">
      <c r="AK248" s="34"/>
    </row>
    <row r="249" spans="37:37" s="2" customFormat="1" x14ac:dyDescent="0.2">
      <c r="AK249" s="34"/>
    </row>
    <row r="250" spans="37:37" s="2" customFormat="1" x14ac:dyDescent="0.2">
      <c r="AK250" s="34"/>
    </row>
    <row r="251" spans="37:37" s="2" customFormat="1" x14ac:dyDescent="0.2">
      <c r="AK251" s="34"/>
    </row>
    <row r="252" spans="37:37" s="2" customFormat="1" x14ac:dyDescent="0.2">
      <c r="AK252" s="34"/>
    </row>
    <row r="253" spans="37:37" s="2" customFormat="1" x14ac:dyDescent="0.2">
      <c r="AK253" s="34"/>
    </row>
    <row r="254" spans="37:37" s="2" customFormat="1" x14ac:dyDescent="0.2">
      <c r="AK254" s="34"/>
    </row>
    <row r="255" spans="37:37" s="2" customFormat="1" x14ac:dyDescent="0.2">
      <c r="AK255" s="34"/>
    </row>
    <row r="256" spans="37:37" s="2" customFormat="1" x14ac:dyDescent="0.2">
      <c r="AK256" s="34"/>
    </row>
    <row r="257" spans="37:37" s="2" customFormat="1" x14ac:dyDescent="0.2">
      <c r="AK257" s="34"/>
    </row>
    <row r="258" spans="37:37" s="2" customFormat="1" x14ac:dyDescent="0.2">
      <c r="AK258" s="34"/>
    </row>
    <row r="259" spans="37:37" s="2" customFormat="1" x14ac:dyDescent="0.2">
      <c r="AK259" s="34"/>
    </row>
    <row r="260" spans="37:37" s="2" customFormat="1" x14ac:dyDescent="0.2">
      <c r="AK260" s="34"/>
    </row>
    <row r="261" spans="37:37" s="2" customFormat="1" x14ac:dyDescent="0.2">
      <c r="AK261" s="34"/>
    </row>
    <row r="262" spans="37:37" s="2" customFormat="1" x14ac:dyDescent="0.2">
      <c r="AK262" s="34"/>
    </row>
    <row r="263" spans="37:37" s="2" customFormat="1" x14ac:dyDescent="0.2">
      <c r="AK263" s="34"/>
    </row>
    <row r="264" spans="37:37" s="2" customFormat="1" x14ac:dyDescent="0.2">
      <c r="AK264" s="34"/>
    </row>
    <row r="265" spans="37:37" s="2" customFormat="1" x14ac:dyDescent="0.2">
      <c r="AK265" s="34"/>
    </row>
    <row r="266" spans="37:37" s="2" customFormat="1" x14ac:dyDescent="0.2">
      <c r="AK266" s="34"/>
    </row>
    <row r="267" spans="37:37" s="2" customFormat="1" x14ac:dyDescent="0.2">
      <c r="AK267" s="34"/>
    </row>
    <row r="268" spans="37:37" s="2" customFormat="1" x14ac:dyDescent="0.2">
      <c r="AK268" s="34"/>
    </row>
    <row r="269" spans="37:37" s="2" customFormat="1" x14ac:dyDescent="0.2">
      <c r="AK269" s="34"/>
    </row>
    <row r="270" spans="37:37" s="2" customFormat="1" x14ac:dyDescent="0.2">
      <c r="AK270" s="34"/>
    </row>
    <row r="271" spans="37:37" s="2" customFormat="1" x14ac:dyDescent="0.2">
      <c r="AK271" s="34"/>
    </row>
    <row r="272" spans="37:37" s="2" customFormat="1" x14ac:dyDescent="0.2">
      <c r="AK272" s="34"/>
    </row>
    <row r="273" spans="37:37" s="2" customFormat="1" x14ac:dyDescent="0.2">
      <c r="AK273" s="34"/>
    </row>
    <row r="274" spans="37:37" s="2" customFormat="1" x14ac:dyDescent="0.2">
      <c r="AK274" s="34"/>
    </row>
    <row r="275" spans="37:37" s="2" customFormat="1" x14ac:dyDescent="0.2">
      <c r="AK275" s="34"/>
    </row>
    <row r="276" spans="37:37" s="2" customFormat="1" x14ac:dyDescent="0.2">
      <c r="AK276" s="34"/>
    </row>
    <row r="277" spans="37:37" s="2" customFormat="1" x14ac:dyDescent="0.2">
      <c r="AK277" s="34"/>
    </row>
    <row r="278" spans="37:37" s="2" customFormat="1" x14ac:dyDescent="0.2">
      <c r="AK278" s="34"/>
    </row>
    <row r="279" spans="37:37" s="2" customFormat="1" x14ac:dyDescent="0.2">
      <c r="AK279" s="34"/>
    </row>
    <row r="280" spans="37:37" s="2" customFormat="1" x14ac:dyDescent="0.2">
      <c r="AK280" s="34"/>
    </row>
    <row r="281" spans="37:37" s="2" customFormat="1" x14ac:dyDescent="0.2">
      <c r="AK281" s="34"/>
    </row>
    <row r="282" spans="37:37" s="2" customFormat="1" x14ac:dyDescent="0.2">
      <c r="AK282" s="34"/>
    </row>
    <row r="283" spans="37:37" s="2" customFormat="1" x14ac:dyDescent="0.2">
      <c r="AK283" s="34"/>
    </row>
    <row r="284" spans="37:37" s="2" customFormat="1" x14ac:dyDescent="0.2">
      <c r="AK284" s="34"/>
    </row>
    <row r="285" spans="37:37" s="2" customFormat="1" x14ac:dyDescent="0.2">
      <c r="AK285" s="34"/>
    </row>
    <row r="286" spans="37:37" s="2" customFormat="1" x14ac:dyDescent="0.2">
      <c r="AK286" s="34"/>
    </row>
    <row r="287" spans="37:37" s="2" customFormat="1" x14ac:dyDescent="0.2">
      <c r="AK287" s="34"/>
    </row>
    <row r="288" spans="37:37" s="2" customFormat="1" x14ac:dyDescent="0.2">
      <c r="AK288" s="34"/>
    </row>
    <row r="289" spans="37:37" s="2" customFormat="1" x14ac:dyDescent="0.2">
      <c r="AK289" s="34"/>
    </row>
    <row r="290" spans="37:37" s="2" customFormat="1" x14ac:dyDescent="0.2">
      <c r="AK290" s="34"/>
    </row>
    <row r="291" spans="37:37" s="2" customFormat="1" x14ac:dyDescent="0.2">
      <c r="AK291" s="34"/>
    </row>
    <row r="292" spans="37:37" s="2" customFormat="1" x14ac:dyDescent="0.2">
      <c r="AK292" s="34"/>
    </row>
    <row r="293" spans="37:37" s="2" customFormat="1" x14ac:dyDescent="0.2">
      <c r="AK293" s="34"/>
    </row>
    <row r="294" spans="37:37" s="2" customFormat="1" x14ac:dyDescent="0.2">
      <c r="AK294" s="34"/>
    </row>
    <row r="295" spans="37:37" s="2" customFormat="1" x14ac:dyDescent="0.2">
      <c r="AK295" s="34"/>
    </row>
    <row r="296" spans="37:37" s="2" customFormat="1" x14ac:dyDescent="0.2">
      <c r="AK296" s="34"/>
    </row>
    <row r="297" spans="37:37" s="2" customFormat="1" x14ac:dyDescent="0.2">
      <c r="AK297" s="34"/>
    </row>
    <row r="298" spans="37:37" s="2" customFormat="1" x14ac:dyDescent="0.2">
      <c r="AK298" s="34"/>
    </row>
    <row r="299" spans="37:37" s="2" customFormat="1" x14ac:dyDescent="0.2">
      <c r="AK299" s="34"/>
    </row>
    <row r="300" spans="37:37" s="2" customFormat="1" x14ac:dyDescent="0.2">
      <c r="AK300" s="34"/>
    </row>
    <row r="301" spans="37:37" s="2" customFormat="1" x14ac:dyDescent="0.2">
      <c r="AK301" s="34"/>
    </row>
    <row r="302" spans="37:37" s="2" customFormat="1" x14ac:dyDescent="0.2">
      <c r="AK302" s="34"/>
    </row>
    <row r="303" spans="37:37" s="2" customFormat="1" x14ac:dyDescent="0.2">
      <c r="AK303" s="34"/>
    </row>
    <row r="304" spans="37:37" s="2" customFormat="1" x14ac:dyDescent="0.2">
      <c r="AK304" s="34"/>
    </row>
    <row r="305" spans="37:37" s="2" customFormat="1" x14ac:dyDescent="0.2">
      <c r="AK305" s="34"/>
    </row>
    <row r="306" spans="37:37" s="2" customFormat="1" x14ac:dyDescent="0.2">
      <c r="AK306" s="34"/>
    </row>
    <row r="307" spans="37:37" s="2" customFormat="1" x14ac:dyDescent="0.2">
      <c r="AK307" s="34"/>
    </row>
    <row r="308" spans="37:37" s="2" customFormat="1" x14ac:dyDescent="0.2">
      <c r="AK308" s="34"/>
    </row>
    <row r="309" spans="37:37" s="2" customFormat="1" x14ac:dyDescent="0.2">
      <c r="AK309" s="34"/>
    </row>
    <row r="310" spans="37:37" s="2" customFormat="1" x14ac:dyDescent="0.2">
      <c r="AK310" s="34"/>
    </row>
    <row r="311" spans="37:37" s="2" customFormat="1" x14ac:dyDescent="0.2">
      <c r="AK311" s="34"/>
    </row>
    <row r="312" spans="37:37" s="2" customFormat="1" x14ac:dyDescent="0.2">
      <c r="AK312" s="34"/>
    </row>
    <row r="313" spans="37:37" s="2" customFormat="1" x14ac:dyDescent="0.2">
      <c r="AK313" s="34"/>
    </row>
    <row r="314" spans="37:37" s="2" customFormat="1" x14ac:dyDescent="0.2">
      <c r="AK314" s="34"/>
    </row>
    <row r="315" spans="37:37" s="2" customFormat="1" x14ac:dyDescent="0.2">
      <c r="AK315" s="34"/>
    </row>
    <row r="316" spans="37:37" s="2" customFormat="1" x14ac:dyDescent="0.2">
      <c r="AK316" s="34"/>
    </row>
    <row r="317" spans="37:37" s="2" customFormat="1" x14ac:dyDescent="0.2">
      <c r="AK317" s="34"/>
    </row>
    <row r="318" spans="37:37" s="2" customFormat="1" x14ac:dyDescent="0.2">
      <c r="AK318" s="34"/>
    </row>
    <row r="319" spans="37:37" s="2" customFormat="1" x14ac:dyDescent="0.2">
      <c r="AK319" s="34"/>
    </row>
    <row r="320" spans="37:37" s="2" customFormat="1" x14ac:dyDescent="0.2">
      <c r="AK320" s="34"/>
    </row>
    <row r="321" spans="37:37" s="2" customFormat="1" x14ac:dyDescent="0.2">
      <c r="AK321" s="34"/>
    </row>
    <row r="322" spans="37:37" s="2" customFormat="1" x14ac:dyDescent="0.2">
      <c r="AK322" s="34"/>
    </row>
    <row r="323" spans="37:37" s="2" customFormat="1" x14ac:dyDescent="0.2">
      <c r="AK323" s="34"/>
    </row>
    <row r="324" spans="37:37" s="2" customFormat="1" x14ac:dyDescent="0.2">
      <c r="AK324" s="34"/>
    </row>
    <row r="325" spans="37:37" s="2" customFormat="1" x14ac:dyDescent="0.2">
      <c r="AK325" s="34"/>
    </row>
    <row r="326" spans="37:37" s="2" customFormat="1" x14ac:dyDescent="0.2">
      <c r="AK326" s="34"/>
    </row>
    <row r="327" spans="37:37" s="2" customFormat="1" x14ac:dyDescent="0.2">
      <c r="AK327" s="34"/>
    </row>
    <row r="328" spans="37:37" s="2" customFormat="1" x14ac:dyDescent="0.2">
      <c r="AK328" s="34"/>
    </row>
    <row r="329" spans="37:37" s="2" customFormat="1" x14ac:dyDescent="0.2">
      <c r="AK329" s="34"/>
    </row>
    <row r="330" spans="37:37" s="2" customFormat="1" x14ac:dyDescent="0.2">
      <c r="AK330" s="34"/>
    </row>
    <row r="331" spans="37:37" s="2" customFormat="1" x14ac:dyDescent="0.2">
      <c r="AK331" s="34"/>
    </row>
    <row r="332" spans="37:37" s="2" customFormat="1" x14ac:dyDescent="0.2">
      <c r="AK332" s="34"/>
    </row>
    <row r="333" spans="37:37" s="2" customFormat="1" x14ac:dyDescent="0.2">
      <c r="AK333" s="34"/>
    </row>
    <row r="334" spans="37:37" s="2" customFormat="1" x14ac:dyDescent="0.2">
      <c r="AK334" s="34"/>
    </row>
    <row r="335" spans="37:37" s="2" customFormat="1" x14ac:dyDescent="0.2">
      <c r="AK335" s="34"/>
    </row>
    <row r="336" spans="37:37" s="2" customFormat="1" x14ac:dyDescent="0.2">
      <c r="AK336" s="34"/>
    </row>
    <row r="337" spans="37:37" s="2" customFormat="1" x14ac:dyDescent="0.2">
      <c r="AK337" s="34"/>
    </row>
    <row r="338" spans="37:37" s="2" customFormat="1" x14ac:dyDescent="0.2">
      <c r="AK338" s="34"/>
    </row>
    <row r="339" spans="37:37" s="2" customFormat="1" x14ac:dyDescent="0.2">
      <c r="AK339" s="34"/>
    </row>
    <row r="340" spans="37:37" s="2" customFormat="1" x14ac:dyDescent="0.2">
      <c r="AK340" s="34"/>
    </row>
    <row r="341" spans="37:37" s="2" customFormat="1" x14ac:dyDescent="0.2">
      <c r="AK341" s="34"/>
    </row>
    <row r="342" spans="37:37" s="2" customFormat="1" x14ac:dyDescent="0.2">
      <c r="AK342" s="34"/>
    </row>
    <row r="343" spans="37:37" s="2" customFormat="1" x14ac:dyDescent="0.2">
      <c r="AK343" s="34"/>
    </row>
    <row r="344" spans="37:37" s="2" customFormat="1" x14ac:dyDescent="0.2">
      <c r="AK344" s="34"/>
    </row>
    <row r="345" spans="37:37" s="2" customFormat="1" x14ac:dyDescent="0.2">
      <c r="AK345" s="34"/>
    </row>
    <row r="346" spans="37:37" s="2" customFormat="1" x14ac:dyDescent="0.2">
      <c r="AK346" s="34"/>
    </row>
    <row r="347" spans="37:37" s="2" customFormat="1" x14ac:dyDescent="0.2">
      <c r="AK347" s="34"/>
    </row>
    <row r="348" spans="37:37" s="2" customFormat="1" x14ac:dyDescent="0.2">
      <c r="AK348" s="34"/>
    </row>
    <row r="349" spans="37:37" s="2" customFormat="1" x14ac:dyDescent="0.2">
      <c r="AK349" s="34"/>
    </row>
    <row r="350" spans="37:37" s="2" customFormat="1" x14ac:dyDescent="0.2">
      <c r="AK350" s="34"/>
    </row>
    <row r="351" spans="37:37" s="2" customFormat="1" x14ac:dyDescent="0.2">
      <c r="AK351" s="34"/>
    </row>
    <row r="352" spans="37:37" s="2" customFormat="1" x14ac:dyDescent="0.2">
      <c r="AK352" s="34"/>
    </row>
    <row r="353" spans="37:37" s="2" customFormat="1" x14ac:dyDescent="0.2">
      <c r="AK353" s="34"/>
    </row>
    <row r="354" spans="37:37" s="2" customFormat="1" x14ac:dyDescent="0.2">
      <c r="AK354" s="34"/>
    </row>
    <row r="355" spans="37:37" s="2" customFormat="1" x14ac:dyDescent="0.2">
      <c r="AK355" s="34"/>
    </row>
    <row r="356" spans="37:37" s="2" customFormat="1" x14ac:dyDescent="0.2">
      <c r="AK356" s="34"/>
    </row>
    <row r="357" spans="37:37" s="2" customFormat="1" x14ac:dyDescent="0.2">
      <c r="AK357" s="34"/>
    </row>
    <row r="358" spans="37:37" s="2" customFormat="1" x14ac:dyDescent="0.2">
      <c r="AK358" s="34"/>
    </row>
    <row r="359" spans="37:37" s="2" customFormat="1" x14ac:dyDescent="0.2">
      <c r="AK359" s="34"/>
    </row>
    <row r="360" spans="37:37" s="2" customFormat="1" x14ac:dyDescent="0.2">
      <c r="AK360" s="34"/>
    </row>
    <row r="361" spans="37:37" s="2" customFormat="1" x14ac:dyDescent="0.2">
      <c r="AK361" s="34"/>
    </row>
    <row r="362" spans="37:37" s="2" customFormat="1" x14ac:dyDescent="0.2">
      <c r="AK362" s="34"/>
    </row>
    <row r="363" spans="37:37" s="2" customFormat="1" x14ac:dyDescent="0.2">
      <c r="AK363" s="34"/>
    </row>
    <row r="364" spans="37:37" s="2" customFormat="1" x14ac:dyDescent="0.2">
      <c r="AK364" s="34"/>
    </row>
    <row r="365" spans="37:37" s="2" customFormat="1" x14ac:dyDescent="0.2">
      <c r="AK365" s="34"/>
    </row>
    <row r="366" spans="37:37" s="2" customFormat="1" x14ac:dyDescent="0.2">
      <c r="AK366" s="34"/>
    </row>
    <row r="367" spans="37:37" s="2" customFormat="1" x14ac:dyDescent="0.2">
      <c r="AK367" s="34"/>
    </row>
    <row r="368" spans="37:37" s="2" customFormat="1" x14ac:dyDescent="0.2">
      <c r="AK368" s="34"/>
    </row>
    <row r="369" spans="37:37" s="2" customFormat="1" x14ac:dyDescent="0.2">
      <c r="AK369" s="34"/>
    </row>
    <row r="370" spans="37:37" s="2" customFormat="1" x14ac:dyDescent="0.2">
      <c r="AK370" s="34"/>
    </row>
    <row r="371" spans="37:37" s="2" customFormat="1" x14ac:dyDescent="0.2">
      <c r="AK371" s="34"/>
    </row>
    <row r="372" spans="37:37" s="2" customFormat="1" x14ac:dyDescent="0.2">
      <c r="AK372" s="34"/>
    </row>
    <row r="373" spans="37:37" s="2" customFormat="1" x14ac:dyDescent="0.2">
      <c r="AK373" s="34"/>
    </row>
    <row r="374" spans="37:37" s="2" customFormat="1" x14ac:dyDescent="0.2">
      <c r="AK374" s="34"/>
    </row>
    <row r="375" spans="37:37" s="2" customFormat="1" x14ac:dyDescent="0.2">
      <c r="AK375" s="34"/>
    </row>
    <row r="376" spans="37:37" s="2" customFormat="1" x14ac:dyDescent="0.2">
      <c r="AK376" s="34"/>
    </row>
    <row r="377" spans="37:37" s="2" customFormat="1" x14ac:dyDescent="0.2">
      <c r="AK377" s="34"/>
    </row>
    <row r="378" spans="37:37" s="2" customFormat="1" x14ac:dyDescent="0.2">
      <c r="AK378" s="34"/>
    </row>
    <row r="379" spans="37:37" s="2" customFormat="1" x14ac:dyDescent="0.2">
      <c r="AK379" s="34"/>
    </row>
    <row r="380" spans="37:37" s="2" customFormat="1" x14ac:dyDescent="0.2">
      <c r="AK380" s="34"/>
    </row>
    <row r="381" spans="37:37" s="2" customFormat="1" x14ac:dyDescent="0.2">
      <c r="AK381" s="34"/>
    </row>
    <row r="382" spans="37:37" s="2" customFormat="1" x14ac:dyDescent="0.2">
      <c r="AK382" s="34"/>
    </row>
    <row r="383" spans="37:37" s="2" customFormat="1" x14ac:dyDescent="0.2">
      <c r="AK383" s="34"/>
    </row>
    <row r="384" spans="37:37" s="2" customFormat="1" x14ac:dyDescent="0.2">
      <c r="AK384" s="34"/>
    </row>
    <row r="385" spans="37:37" s="2" customFormat="1" x14ac:dyDescent="0.2">
      <c r="AK385" s="34"/>
    </row>
    <row r="386" spans="37:37" s="2" customFormat="1" x14ac:dyDescent="0.2">
      <c r="AK386" s="34"/>
    </row>
    <row r="387" spans="37:37" s="2" customFormat="1" x14ac:dyDescent="0.2">
      <c r="AK387" s="34"/>
    </row>
    <row r="388" spans="37:37" s="2" customFormat="1" x14ac:dyDescent="0.2">
      <c r="AK388" s="34"/>
    </row>
    <row r="389" spans="37:37" s="2" customFormat="1" x14ac:dyDescent="0.2">
      <c r="AK389" s="34"/>
    </row>
    <row r="390" spans="37:37" s="2" customFormat="1" x14ac:dyDescent="0.2">
      <c r="AK390" s="34"/>
    </row>
    <row r="391" spans="37:37" s="2" customFormat="1" x14ac:dyDescent="0.2">
      <c r="AK391" s="34"/>
    </row>
    <row r="392" spans="37:37" s="2" customFormat="1" x14ac:dyDescent="0.2">
      <c r="AK392" s="34"/>
    </row>
    <row r="393" spans="37:37" s="2" customFormat="1" x14ac:dyDescent="0.2">
      <c r="AK393" s="34"/>
    </row>
    <row r="394" spans="37:37" s="2" customFormat="1" x14ac:dyDescent="0.2">
      <c r="AK394" s="34"/>
    </row>
    <row r="395" spans="37:37" s="2" customFormat="1" x14ac:dyDescent="0.2">
      <c r="AK395" s="34"/>
    </row>
    <row r="396" spans="37:37" s="2" customFormat="1" x14ac:dyDescent="0.2">
      <c r="AK396" s="34"/>
    </row>
    <row r="397" spans="37:37" s="2" customFormat="1" x14ac:dyDescent="0.2">
      <c r="AK397" s="34"/>
    </row>
    <row r="398" spans="37:37" s="2" customFormat="1" x14ac:dyDescent="0.2">
      <c r="AK398" s="34"/>
    </row>
    <row r="399" spans="37:37" s="2" customFormat="1" x14ac:dyDescent="0.2">
      <c r="AK399" s="34"/>
    </row>
    <row r="400" spans="37:37" s="2" customFormat="1" x14ac:dyDescent="0.2">
      <c r="AK400" s="34"/>
    </row>
    <row r="401" spans="37:37" s="2" customFormat="1" x14ac:dyDescent="0.2">
      <c r="AK401" s="34"/>
    </row>
    <row r="402" spans="37:37" s="2" customFormat="1" x14ac:dyDescent="0.2">
      <c r="AK402" s="34"/>
    </row>
    <row r="403" spans="37:37" s="2" customFormat="1" x14ac:dyDescent="0.2">
      <c r="AK403" s="34"/>
    </row>
  </sheetData>
  <mergeCells count="17">
    <mergeCell ref="AI8:AK8"/>
    <mergeCell ref="AC8:AE8"/>
    <mergeCell ref="AF8:AH8"/>
    <mergeCell ref="N8:P8"/>
    <mergeCell ref="Q8:S8"/>
    <mergeCell ref="T8:V8"/>
    <mergeCell ref="W8:Y8"/>
    <mergeCell ref="B8:D8"/>
    <mergeCell ref="E8:G8"/>
    <mergeCell ref="H8:J8"/>
    <mergeCell ref="K8:M8"/>
    <mergeCell ref="Z8:AB8"/>
    <mergeCell ref="AL8:AN8"/>
    <mergeCell ref="AO8:AQ8"/>
    <mergeCell ref="AR8:AT8"/>
    <mergeCell ref="AU8:AW8"/>
    <mergeCell ref="AX8:AZ8"/>
  </mergeCells>
  <phoneticPr fontId="0" type="noConversion"/>
  <printOptions horizontalCentered="1" verticalCentered="1"/>
  <pageMargins left="0.98425196850393704" right="0.75" top="1" bottom="1" header="0" footer="0"/>
  <pageSetup paperSize="5" scale="75" orientation="landscape" r:id="rId1"/>
  <headerFooter alignWithMargins="0"/>
  <rowBreaks count="1" manualBreakCount="1">
    <brk id="64" max="16383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2C781-017D-4C4C-A7F9-D3CCA32F9006}">
  <sheetPr>
    <tabColor theme="8" tint="0.39997558519241921"/>
  </sheetPr>
  <dimension ref="A1:Q220"/>
  <sheetViews>
    <sheetView tabSelected="1" zoomScaleNormal="100" workbookViewId="0">
      <pane xSplit="1" ySplit="5" topLeftCell="B96" activePane="bottomRight" state="frozen"/>
      <selection activeCell="M123" sqref="M123"/>
      <selection pane="topRight" activeCell="M123" sqref="M123"/>
      <selection pane="bottomLeft" activeCell="M123" sqref="M123"/>
      <selection pane="bottomRight" activeCell="A4" sqref="A4"/>
    </sheetView>
  </sheetViews>
  <sheetFormatPr baseColWidth="10" defaultRowHeight="12.75" x14ac:dyDescent="0.2"/>
  <cols>
    <col min="1" max="1" width="62.7109375" customWidth="1"/>
    <col min="2" max="6" width="12.7109375" style="45" customWidth="1"/>
    <col min="7" max="7" width="12.7109375" customWidth="1"/>
    <col min="8" max="8" width="12.7109375" style="45" customWidth="1"/>
    <col min="9" max="11" width="12.7109375" customWidth="1"/>
    <col min="12" max="12" width="16.28515625" customWidth="1"/>
    <col min="13" max="13" width="16.42578125" customWidth="1"/>
    <col min="14" max="14" width="14.7109375" customWidth="1"/>
    <col min="15" max="15" width="17.28515625" bestFit="1" customWidth="1"/>
  </cols>
  <sheetData>
    <row r="1" spans="1:15" x14ac:dyDescent="0.2">
      <c r="A1" s="42" t="s">
        <v>3</v>
      </c>
    </row>
    <row r="2" spans="1:15" x14ac:dyDescent="0.2">
      <c r="A2" s="42" t="s">
        <v>244</v>
      </c>
      <c r="H2" s="49"/>
      <c r="K2" s="45"/>
    </row>
    <row r="3" spans="1:15" x14ac:dyDescent="0.2">
      <c r="A3" s="42" t="s">
        <v>204</v>
      </c>
      <c r="H3" s="49"/>
    </row>
    <row r="4" spans="1:15" ht="13.5" thickBot="1" x14ac:dyDescent="0.25">
      <c r="A4" s="4" t="s">
        <v>202</v>
      </c>
      <c r="H4" s="49"/>
    </row>
    <row r="5" spans="1:15" s="106" customFormat="1" ht="27.75" customHeight="1" x14ac:dyDescent="0.2">
      <c r="A5" s="198" t="s">
        <v>245</v>
      </c>
      <c r="B5" s="199" t="s">
        <v>205</v>
      </c>
      <c r="C5" s="199" t="s">
        <v>206</v>
      </c>
      <c r="D5" s="199" t="s">
        <v>207</v>
      </c>
      <c r="E5" s="199" t="s">
        <v>208</v>
      </c>
      <c r="F5" s="199" t="s">
        <v>209</v>
      </c>
      <c r="G5" s="199" t="s">
        <v>210</v>
      </c>
      <c r="H5" s="200" t="s">
        <v>211</v>
      </c>
      <c r="I5" s="200" t="s">
        <v>212</v>
      </c>
      <c r="J5" s="200">
        <v>2020</v>
      </c>
      <c r="K5" s="201" t="s">
        <v>243</v>
      </c>
    </row>
    <row r="6" spans="1:15" s="46" customFormat="1" x14ac:dyDescent="0.2">
      <c r="A6" s="173" t="s">
        <v>123</v>
      </c>
      <c r="B6" s="170">
        <v>5613032680251.96</v>
      </c>
      <c r="C6" s="170">
        <v>6223557159621.3496</v>
      </c>
      <c r="D6" s="170">
        <v>6767027057321.4004</v>
      </c>
      <c r="E6" s="170">
        <v>7320446878583.7998</v>
      </c>
      <c r="F6" s="170">
        <v>7863770731253.4297</v>
      </c>
      <c r="G6" s="170">
        <v>8360759034062.8701</v>
      </c>
      <c r="H6" s="170">
        <v>9071903560879.6895</v>
      </c>
      <c r="I6" s="170">
        <v>10168186927060.131</v>
      </c>
      <c r="J6" s="170">
        <v>9516225819896</v>
      </c>
      <c r="K6" s="174">
        <v>10499717765002</v>
      </c>
    </row>
    <row r="7" spans="1:15" s="46" customFormat="1" x14ac:dyDescent="0.2">
      <c r="A7" s="173" t="s">
        <v>122</v>
      </c>
      <c r="B7" s="170">
        <v>5098821997858.3701</v>
      </c>
      <c r="C7" s="170">
        <v>5527549242492.5195</v>
      </c>
      <c r="D7" s="170">
        <v>6082409643292</v>
      </c>
      <c r="E7" s="170">
        <v>6681436151727.0898</v>
      </c>
      <c r="F7" s="170">
        <v>7221388790540</v>
      </c>
      <c r="G7" s="170">
        <v>7628091841551.6396</v>
      </c>
      <c r="H7" s="170">
        <v>8303217566393.7695</v>
      </c>
      <c r="I7" s="170">
        <v>9279408335557</v>
      </c>
      <c r="J7" s="170">
        <v>8906727292077</v>
      </c>
      <c r="K7" s="174">
        <v>9809753643344</v>
      </c>
      <c r="O7" s="54"/>
    </row>
    <row r="8" spans="1:15" x14ac:dyDescent="0.2">
      <c r="A8" s="175" t="s">
        <v>44</v>
      </c>
      <c r="B8" s="171">
        <v>1217425319130.6699</v>
      </c>
      <c r="C8" s="171">
        <v>1439369223289.6699</v>
      </c>
      <c r="D8" s="171">
        <v>1733327429099</v>
      </c>
      <c r="E8" s="171">
        <v>2011529997127</v>
      </c>
      <c r="F8" s="171">
        <v>2226793013853</v>
      </c>
      <c r="G8" s="171">
        <v>2417141794125</v>
      </c>
      <c r="H8" s="171">
        <v>2684439126842</v>
      </c>
      <c r="I8" s="171">
        <v>3359997686354</v>
      </c>
      <c r="J8" s="171">
        <v>3433292638219</v>
      </c>
      <c r="K8" s="189">
        <v>3675607346965</v>
      </c>
      <c r="O8" s="51"/>
    </row>
    <row r="9" spans="1:15" x14ac:dyDescent="0.2">
      <c r="A9" s="175" t="s">
        <v>45</v>
      </c>
      <c r="B9" s="171">
        <v>2598533020951.0698</v>
      </c>
      <c r="C9" s="171">
        <v>2714592849072.1699</v>
      </c>
      <c r="D9" s="171">
        <v>2940348004366</v>
      </c>
      <c r="E9" s="171">
        <v>3207547532992</v>
      </c>
      <c r="F9" s="171">
        <v>3419790272405</v>
      </c>
      <c r="G9" s="171">
        <v>3512393620802</v>
      </c>
      <c r="H9" s="171">
        <v>3702867764085</v>
      </c>
      <c r="I9" s="171">
        <v>3947674860826</v>
      </c>
      <c r="J9" s="171">
        <v>3737221881224</v>
      </c>
      <c r="K9" s="189">
        <v>4224445586462</v>
      </c>
    </row>
    <row r="10" spans="1:15" x14ac:dyDescent="0.2">
      <c r="A10" s="175" t="s">
        <v>46</v>
      </c>
      <c r="B10" s="171">
        <v>6898428364</v>
      </c>
      <c r="C10" s="171">
        <v>1239390000</v>
      </c>
      <c r="D10" s="171">
        <v>-1665000</v>
      </c>
      <c r="E10" s="171">
        <v>0</v>
      </c>
      <c r="F10" s="171"/>
      <c r="G10" s="171"/>
      <c r="H10" s="171"/>
      <c r="I10" s="171"/>
      <c r="J10" s="171"/>
      <c r="K10" s="189"/>
    </row>
    <row r="11" spans="1:15" x14ac:dyDescent="0.2">
      <c r="A11" s="175" t="s">
        <v>47</v>
      </c>
      <c r="B11" s="171">
        <v>429518255839.41998</v>
      </c>
      <c r="C11" s="171">
        <v>466598285628.41998</v>
      </c>
      <c r="D11" s="171">
        <v>480482917898</v>
      </c>
      <c r="E11" s="171">
        <v>473414559234</v>
      </c>
      <c r="F11" s="171">
        <v>532767028213</v>
      </c>
      <c r="G11" s="171">
        <v>614848043782</v>
      </c>
      <c r="H11" s="171">
        <v>656878104772</v>
      </c>
      <c r="I11" s="171">
        <v>702395508731</v>
      </c>
      <c r="J11" s="171">
        <v>743775823719</v>
      </c>
      <c r="K11" s="189">
        <v>766368131176</v>
      </c>
    </row>
    <row r="12" spans="1:15" x14ac:dyDescent="0.2">
      <c r="A12" s="175" t="s">
        <v>48</v>
      </c>
      <c r="B12" s="171">
        <v>118559749737</v>
      </c>
      <c r="C12" s="171">
        <v>162211828746</v>
      </c>
      <c r="D12" s="171">
        <v>156192998603</v>
      </c>
      <c r="E12" s="171">
        <v>110735231299</v>
      </c>
      <c r="F12" s="171">
        <v>106556448658</v>
      </c>
      <c r="G12" s="171">
        <v>58309966970</v>
      </c>
      <c r="H12" s="171">
        <v>84705855000</v>
      </c>
      <c r="I12" s="171">
        <v>77810389500</v>
      </c>
      <c r="J12" s="171">
        <v>70365575000</v>
      </c>
      <c r="K12" s="189">
        <v>89426159000</v>
      </c>
    </row>
    <row r="13" spans="1:15" x14ac:dyDescent="0.2">
      <c r="A13" s="175" t="s">
        <v>49</v>
      </c>
      <c r="B13" s="171">
        <v>22291153555.599998</v>
      </c>
      <c r="C13" s="171">
        <v>12274734000</v>
      </c>
      <c r="D13" s="171">
        <v>13333315000</v>
      </c>
      <c r="E13" s="171">
        <v>62952366312.599998</v>
      </c>
      <c r="F13" s="171">
        <v>71672141000</v>
      </c>
      <c r="G13" s="171">
        <v>93723637000</v>
      </c>
      <c r="H13" s="171">
        <v>175237753200.77002</v>
      </c>
      <c r="I13" s="171">
        <v>248544458748</v>
      </c>
      <c r="J13" s="171">
        <v>208219537000</v>
      </c>
      <c r="K13" s="189">
        <v>223573731000</v>
      </c>
    </row>
    <row r="14" spans="1:15" x14ac:dyDescent="0.2">
      <c r="A14" s="175" t="s">
        <v>50</v>
      </c>
      <c r="B14" s="171">
        <v>283200529039.60999</v>
      </c>
      <c r="C14" s="171">
        <v>303410245600</v>
      </c>
      <c r="D14" s="171">
        <v>305588937198</v>
      </c>
      <c r="E14" s="171">
        <v>323332533850.48999</v>
      </c>
      <c r="F14" s="171">
        <v>357276291000</v>
      </c>
      <c r="G14" s="171">
        <v>370060248000</v>
      </c>
      <c r="H14" s="171">
        <v>390464637300</v>
      </c>
      <c r="I14" s="171">
        <v>397493012252</v>
      </c>
      <c r="J14" s="171">
        <v>315653428000</v>
      </c>
      <c r="K14" s="189">
        <v>351164648688</v>
      </c>
    </row>
    <row r="15" spans="1:15" x14ac:dyDescent="0.2">
      <c r="A15" s="175" t="s">
        <v>51</v>
      </c>
      <c r="B15" s="171">
        <v>333172895000</v>
      </c>
      <c r="C15" s="171">
        <v>344062549000</v>
      </c>
      <c r="D15" s="171">
        <v>349492259000</v>
      </c>
      <c r="E15" s="171">
        <v>365853160000</v>
      </c>
      <c r="F15" s="171">
        <v>389161694000</v>
      </c>
      <c r="G15" s="171">
        <v>383068615000</v>
      </c>
      <c r="H15" s="171">
        <v>394111189000</v>
      </c>
      <c r="I15" s="171">
        <v>391580857000</v>
      </c>
      <c r="J15" s="171">
        <v>283740770000</v>
      </c>
      <c r="K15" s="189">
        <v>358708372000</v>
      </c>
    </row>
    <row r="16" spans="1:15" x14ac:dyDescent="0.2">
      <c r="A16" s="175" t="s">
        <v>52</v>
      </c>
      <c r="B16" s="171">
        <v>4096163500</v>
      </c>
      <c r="C16" s="171">
        <v>5006635500</v>
      </c>
      <c r="D16" s="171">
        <v>6830830000</v>
      </c>
      <c r="E16" s="171">
        <v>3933430556</v>
      </c>
      <c r="F16" s="171">
        <v>3932523610</v>
      </c>
      <c r="G16" s="171">
        <v>4242909875</v>
      </c>
      <c r="H16" s="171">
        <v>4179938350</v>
      </c>
      <c r="I16" s="171">
        <v>4958492450</v>
      </c>
      <c r="J16" s="171">
        <v>4294058775</v>
      </c>
      <c r="K16" s="189">
        <v>2038268890</v>
      </c>
    </row>
    <row r="17" spans="1:15" x14ac:dyDescent="0.2">
      <c r="A17" s="175" t="s">
        <v>53</v>
      </c>
      <c r="B17" s="171">
        <v>1223000</v>
      </c>
      <c r="C17" s="171">
        <v>63101000</v>
      </c>
      <c r="D17" s="171"/>
      <c r="E17" s="171">
        <v>11695000</v>
      </c>
      <c r="F17" s="171"/>
      <c r="G17" s="171"/>
      <c r="H17" s="171"/>
      <c r="I17" s="171">
        <v>19080644353</v>
      </c>
      <c r="J17" s="171">
        <v>5711168000</v>
      </c>
      <c r="K17" s="189">
        <v>6815980163</v>
      </c>
    </row>
    <row r="18" spans="1:15" x14ac:dyDescent="0.2">
      <c r="A18" s="175" t="s">
        <v>54</v>
      </c>
      <c r="B18" s="171"/>
      <c r="C18" s="171"/>
      <c r="D18" s="171">
        <v>5902564</v>
      </c>
      <c r="E18" s="171"/>
      <c r="F18" s="171"/>
      <c r="G18" s="171"/>
      <c r="H18" s="171"/>
      <c r="I18" s="171"/>
      <c r="J18" s="171"/>
      <c r="K18" s="189"/>
    </row>
    <row r="19" spans="1:15" x14ac:dyDescent="0.2">
      <c r="A19" s="175" t="s">
        <v>55</v>
      </c>
      <c r="B19" s="171">
        <v>11476205000</v>
      </c>
      <c r="C19" s="171">
        <v>11424041000</v>
      </c>
      <c r="D19" s="171">
        <v>15291141206</v>
      </c>
      <c r="E19" s="171">
        <v>18363968635</v>
      </c>
      <c r="F19" s="171">
        <v>16626263608</v>
      </c>
      <c r="G19" s="171">
        <v>17916714425</v>
      </c>
      <c r="H19" s="171">
        <v>22051242819</v>
      </c>
      <c r="I19" s="171">
        <v>26313281667</v>
      </c>
      <c r="J19" s="171">
        <v>21075839000</v>
      </c>
      <c r="K19" s="189">
        <v>22402332000</v>
      </c>
    </row>
    <row r="20" spans="1:15" x14ac:dyDescent="0.2">
      <c r="A20" s="175" t="s">
        <v>56</v>
      </c>
      <c r="B20" s="171">
        <v>11476208000</v>
      </c>
      <c r="C20" s="171">
        <v>11424048000</v>
      </c>
      <c r="D20" s="171">
        <v>15291143206</v>
      </c>
      <c r="E20" s="171">
        <v>18365010635</v>
      </c>
      <c r="F20" s="171">
        <v>20480994574</v>
      </c>
      <c r="G20" s="171">
        <v>61977211000</v>
      </c>
      <c r="H20" s="171">
        <v>85980043360</v>
      </c>
      <c r="I20" s="171">
        <v>103559143676</v>
      </c>
      <c r="J20" s="171">
        <v>83376573140</v>
      </c>
      <c r="K20" s="189">
        <v>89203087000</v>
      </c>
    </row>
    <row r="21" spans="1:15" x14ac:dyDescent="0.2">
      <c r="A21" s="177" t="s">
        <v>57</v>
      </c>
      <c r="B21" s="171">
        <v>10824787100</v>
      </c>
      <c r="C21" s="171">
        <v>21782776000</v>
      </c>
      <c r="D21" s="171">
        <v>10918291354</v>
      </c>
      <c r="E21" s="171">
        <v>26273746097</v>
      </c>
      <c r="F21" s="171">
        <v>16793027330</v>
      </c>
      <c r="G21" s="171">
        <v>17841017800</v>
      </c>
      <c r="H21" s="171">
        <v>18768490000</v>
      </c>
      <c r="I21" s="171"/>
      <c r="J21" s="171"/>
      <c r="K21" s="189"/>
    </row>
    <row r="22" spans="1:15" x14ac:dyDescent="0.2">
      <c r="A22" s="175" t="s">
        <v>58</v>
      </c>
      <c r="B22" s="171">
        <v>51348059641</v>
      </c>
      <c r="C22" s="171">
        <v>34089470146</v>
      </c>
      <c r="D22" s="171">
        <v>55308138798</v>
      </c>
      <c r="E22" s="171">
        <v>59122919989</v>
      </c>
      <c r="F22" s="171">
        <v>59539092087</v>
      </c>
      <c r="G22" s="171">
        <v>76568062772.639999</v>
      </c>
      <c r="H22" s="171">
        <v>83533421665</v>
      </c>
      <c r="I22" s="171"/>
      <c r="J22" s="171"/>
      <c r="K22" s="189"/>
    </row>
    <row r="23" spans="1:15" s="46" customFormat="1" x14ac:dyDescent="0.2">
      <c r="A23" s="173" t="s">
        <v>124</v>
      </c>
      <c r="B23" s="170">
        <v>514210682393.59003</v>
      </c>
      <c r="C23" s="170">
        <v>696007917128.83008</v>
      </c>
      <c r="D23" s="170">
        <v>684617414029.3999</v>
      </c>
      <c r="E23" s="170">
        <v>639010726856.70996</v>
      </c>
      <c r="F23" s="170">
        <v>642381940713.43005</v>
      </c>
      <c r="G23" s="170">
        <v>732667192511.2301</v>
      </c>
      <c r="H23" s="170">
        <v>768685994485.91992</v>
      </c>
      <c r="I23" s="170">
        <v>888778591503.13</v>
      </c>
      <c r="J23" s="170">
        <v>609498527819</v>
      </c>
      <c r="K23" s="174">
        <v>689964121658</v>
      </c>
      <c r="L23" s="54"/>
      <c r="M23" s="54"/>
      <c r="N23" s="52"/>
      <c r="O23" s="52"/>
    </row>
    <row r="24" spans="1:15" s="46" customFormat="1" x14ac:dyDescent="0.2">
      <c r="A24" s="173" t="s">
        <v>135</v>
      </c>
      <c r="B24" s="170">
        <v>1007100811</v>
      </c>
      <c r="C24" s="170">
        <v>2231999636</v>
      </c>
      <c r="D24" s="170">
        <v>983414415</v>
      </c>
      <c r="E24" s="170">
        <v>994138498</v>
      </c>
      <c r="F24" s="170">
        <v>1004212679</v>
      </c>
      <c r="G24" s="170">
        <v>929831861</v>
      </c>
      <c r="H24" s="170">
        <v>1335192204</v>
      </c>
      <c r="I24" s="170">
        <v>52459565940.459999</v>
      </c>
      <c r="J24" s="170">
        <v>12069181700</v>
      </c>
      <c r="K24" s="174">
        <v>6800676413</v>
      </c>
      <c r="L24" s="52"/>
      <c r="M24" s="52"/>
      <c r="N24" s="52"/>
    </row>
    <row r="25" spans="1:15" x14ac:dyDescent="0.2">
      <c r="A25" s="175" t="s">
        <v>59</v>
      </c>
      <c r="B25" s="171">
        <v>1007100811</v>
      </c>
      <c r="C25" s="171">
        <v>2231999636</v>
      </c>
      <c r="D25" s="171">
        <v>983414415</v>
      </c>
      <c r="E25" s="171">
        <v>994138498</v>
      </c>
      <c r="F25" s="171">
        <v>1004212679</v>
      </c>
      <c r="G25" s="171">
        <v>929831861</v>
      </c>
      <c r="H25" s="171">
        <v>1335192204</v>
      </c>
      <c r="I25" s="171">
        <v>1177708739</v>
      </c>
      <c r="J25" s="171">
        <v>1396146238</v>
      </c>
      <c r="K25" s="189">
        <v>1381794538</v>
      </c>
    </row>
    <row r="26" spans="1:15" x14ac:dyDescent="0.2">
      <c r="A26" s="177" t="s">
        <v>57</v>
      </c>
      <c r="B26" s="171"/>
      <c r="C26" s="171"/>
      <c r="D26" s="171"/>
      <c r="E26" s="171"/>
      <c r="F26" s="171"/>
      <c r="G26" s="171"/>
      <c r="H26" s="171"/>
      <c r="I26" s="171">
        <v>39055875832</v>
      </c>
      <c r="J26" s="171">
        <v>247174</v>
      </c>
      <c r="K26" s="189"/>
    </row>
    <row r="27" spans="1:15" x14ac:dyDescent="0.2">
      <c r="A27" s="175" t="s">
        <v>163</v>
      </c>
      <c r="B27" s="171"/>
      <c r="C27" s="171"/>
      <c r="D27" s="171"/>
      <c r="E27" s="171"/>
      <c r="F27" s="171"/>
      <c r="G27" s="171"/>
      <c r="H27" s="171"/>
      <c r="I27" s="171">
        <v>67601009.459999084</v>
      </c>
      <c r="J27" s="171">
        <v>142875104</v>
      </c>
      <c r="K27" s="176">
        <v>992415275</v>
      </c>
    </row>
    <row r="28" spans="1:15" x14ac:dyDescent="0.2">
      <c r="A28" s="175" t="s">
        <v>164</v>
      </c>
      <c r="B28" s="171"/>
      <c r="C28" s="171"/>
      <c r="D28" s="171"/>
      <c r="E28" s="171"/>
      <c r="F28" s="171"/>
      <c r="G28" s="171"/>
      <c r="H28" s="171"/>
      <c r="I28" s="171">
        <v>12158380360</v>
      </c>
      <c r="J28" s="171">
        <v>10529913184</v>
      </c>
      <c r="K28" s="176">
        <v>4426466600</v>
      </c>
    </row>
    <row r="29" spans="1:15" s="46" customFormat="1" x14ac:dyDescent="0.2">
      <c r="A29" s="173" t="s">
        <v>136</v>
      </c>
      <c r="B29" s="170">
        <v>107945873961.07001</v>
      </c>
      <c r="C29" s="170">
        <v>120777210329.87001</v>
      </c>
      <c r="D29" s="170">
        <v>137359201854.70999</v>
      </c>
      <c r="E29" s="170">
        <v>125769872318.36</v>
      </c>
      <c r="F29" s="170">
        <v>125986350706.31</v>
      </c>
      <c r="G29" s="170">
        <v>148241149698.10999</v>
      </c>
      <c r="H29" s="170">
        <v>194474565395.60001</v>
      </c>
      <c r="I29" s="170">
        <v>206476477905.12</v>
      </c>
      <c r="J29" s="170">
        <v>147954721537</v>
      </c>
      <c r="K29" s="174">
        <v>136921166128</v>
      </c>
    </row>
    <row r="30" spans="1:15" x14ac:dyDescent="0.2">
      <c r="A30" s="175" t="s">
        <v>60</v>
      </c>
      <c r="B30" s="171">
        <v>106636724853.22</v>
      </c>
      <c r="C30" s="171">
        <v>118919862074.96001</v>
      </c>
      <c r="D30" s="171">
        <v>135648499715.03999</v>
      </c>
      <c r="E30" s="171">
        <v>122144240033.14999</v>
      </c>
      <c r="F30" s="171">
        <v>121361140817.33</v>
      </c>
      <c r="G30" s="171">
        <v>140667381538.41</v>
      </c>
      <c r="H30" s="171">
        <v>184133535450.69</v>
      </c>
      <c r="I30" s="171">
        <v>186230999756.64999</v>
      </c>
      <c r="J30" s="171">
        <v>130562909352</v>
      </c>
      <c r="K30" s="176">
        <v>121262318085</v>
      </c>
      <c r="L30" s="53"/>
      <c r="M30" s="53"/>
      <c r="N30" s="51"/>
    </row>
    <row r="31" spans="1:15" x14ac:dyDescent="0.2">
      <c r="A31" s="175" t="s">
        <v>61</v>
      </c>
      <c r="B31" s="171"/>
      <c r="C31" s="171"/>
      <c r="D31" s="171"/>
      <c r="E31" s="171">
        <v>78732849</v>
      </c>
      <c r="F31" s="171">
        <v>110182454</v>
      </c>
      <c r="G31" s="171">
        <v>6853390.4000000004</v>
      </c>
      <c r="H31" s="171">
        <v>1436001</v>
      </c>
      <c r="I31" s="171">
        <v>3397953010.75</v>
      </c>
      <c r="J31" s="171">
        <v>5238572164</v>
      </c>
      <c r="K31" s="176">
        <v>1993487616</v>
      </c>
      <c r="L31" s="57"/>
      <c r="M31" s="57"/>
    </row>
    <row r="32" spans="1:15" x14ac:dyDescent="0.2">
      <c r="A32" s="175" t="s">
        <v>144</v>
      </c>
      <c r="B32" s="171"/>
      <c r="C32" s="171"/>
      <c r="D32" s="171"/>
      <c r="E32" s="171"/>
      <c r="F32" s="171"/>
      <c r="G32" s="171">
        <v>570286598</v>
      </c>
      <c r="H32" s="171">
        <v>3809500333</v>
      </c>
      <c r="I32" s="171">
        <v>4684291435</v>
      </c>
      <c r="J32" s="171">
        <v>6472190659</v>
      </c>
      <c r="K32" s="176">
        <v>4105963612</v>
      </c>
      <c r="N32" s="54"/>
    </row>
    <row r="33" spans="1:15" x14ac:dyDescent="0.2">
      <c r="A33" s="175" t="s">
        <v>62</v>
      </c>
      <c r="B33" s="171">
        <v>1309149107.8499999</v>
      </c>
      <c r="C33" s="171">
        <v>1857348254.9100001</v>
      </c>
      <c r="D33" s="171">
        <v>1710702139.6700001</v>
      </c>
      <c r="E33" s="171">
        <v>3546899436.21</v>
      </c>
      <c r="F33" s="171">
        <v>4515027434.9799995</v>
      </c>
      <c r="G33" s="171">
        <v>6996628171.3000002</v>
      </c>
      <c r="H33" s="171">
        <v>6530093610.9100008</v>
      </c>
      <c r="I33" s="171">
        <v>12163233702.719999</v>
      </c>
      <c r="J33" s="171">
        <v>5681049362</v>
      </c>
      <c r="K33" s="176">
        <v>9559396815</v>
      </c>
      <c r="M33" s="54"/>
      <c r="N33" s="54"/>
      <c r="O33" s="54"/>
    </row>
    <row r="34" spans="1:15" s="46" customFormat="1" x14ac:dyDescent="0.2">
      <c r="A34" s="173" t="s">
        <v>137</v>
      </c>
      <c r="B34" s="170">
        <v>47833226000</v>
      </c>
      <c r="C34" s="170">
        <v>54329167000</v>
      </c>
      <c r="D34" s="170">
        <v>64046467313</v>
      </c>
      <c r="E34" s="170">
        <v>71355541500</v>
      </c>
      <c r="F34" s="170">
        <v>77464692001</v>
      </c>
      <c r="G34" s="170">
        <v>80861101034</v>
      </c>
      <c r="H34" s="170">
        <v>87179959567</v>
      </c>
      <c r="I34" s="170">
        <v>221581893280</v>
      </c>
      <c r="J34" s="170">
        <v>221454256564</v>
      </c>
      <c r="K34" s="174">
        <v>217556495758</v>
      </c>
      <c r="M34" s="54"/>
      <c r="N34" s="54"/>
      <c r="O34" s="54"/>
    </row>
    <row r="35" spans="1:15" x14ac:dyDescent="0.2">
      <c r="A35" s="175" t="s">
        <v>63</v>
      </c>
      <c r="B35" s="171">
        <v>47833226000</v>
      </c>
      <c r="C35" s="171">
        <v>54329167000</v>
      </c>
      <c r="D35" s="171">
        <v>62181279000</v>
      </c>
      <c r="E35" s="171">
        <v>71355541500</v>
      </c>
      <c r="F35" s="171">
        <v>77464692001</v>
      </c>
      <c r="G35" s="171">
        <v>80861101034</v>
      </c>
      <c r="H35" s="171">
        <v>87179959567</v>
      </c>
      <c r="I35" s="171">
        <v>94942244596</v>
      </c>
      <c r="J35" s="171">
        <v>101505461632</v>
      </c>
      <c r="K35" s="189">
        <v>114105363849</v>
      </c>
      <c r="M35" s="54"/>
      <c r="N35" s="54"/>
      <c r="O35" s="54"/>
    </row>
    <row r="36" spans="1:15" x14ac:dyDescent="0.2">
      <c r="A36" s="175" t="s">
        <v>64</v>
      </c>
      <c r="B36" s="171"/>
      <c r="C36" s="171"/>
      <c r="D36" s="171">
        <v>1865188313</v>
      </c>
      <c r="E36" s="171"/>
      <c r="F36" s="171"/>
      <c r="G36" s="171"/>
      <c r="H36" s="171"/>
      <c r="I36" s="171">
        <v>274038252</v>
      </c>
      <c r="J36" s="171">
        <v>11976576886</v>
      </c>
      <c r="K36" s="189">
        <v>234511360</v>
      </c>
      <c r="M36" s="54"/>
      <c r="N36" s="54"/>
      <c r="O36" s="54"/>
    </row>
    <row r="37" spans="1:15" x14ac:dyDescent="0.2">
      <c r="A37" s="175" t="s">
        <v>165</v>
      </c>
      <c r="B37" s="171"/>
      <c r="C37" s="171"/>
      <c r="D37" s="171"/>
      <c r="E37" s="171"/>
      <c r="F37" s="171"/>
      <c r="G37" s="171"/>
      <c r="H37" s="171"/>
      <c r="I37" s="171">
        <v>126365610432</v>
      </c>
      <c r="J37" s="171">
        <v>107972218046</v>
      </c>
      <c r="K37" s="189">
        <v>103216620549</v>
      </c>
      <c r="M37" s="45"/>
      <c r="N37" s="45"/>
      <c r="O37" s="45"/>
    </row>
    <row r="38" spans="1:15" s="46" customFormat="1" x14ac:dyDescent="0.2">
      <c r="A38" s="173" t="s">
        <v>138</v>
      </c>
      <c r="B38" s="170">
        <v>128930320193.06</v>
      </c>
      <c r="C38" s="170">
        <v>148903558297.51999</v>
      </c>
      <c r="D38" s="170">
        <v>160372706317.22</v>
      </c>
      <c r="E38" s="170">
        <v>158213834751.03998</v>
      </c>
      <c r="F38" s="170">
        <v>163675028775.32999</v>
      </c>
      <c r="G38" s="170">
        <v>180419057634.42001</v>
      </c>
      <c r="H38" s="170">
        <v>192691118126</v>
      </c>
      <c r="I38" s="170">
        <v>2805982000</v>
      </c>
      <c r="J38" s="170">
        <v>15813370483</v>
      </c>
      <c r="K38" s="174">
        <v>31122457600</v>
      </c>
    </row>
    <row r="39" spans="1:15" x14ac:dyDescent="0.2">
      <c r="A39" s="175" t="s">
        <v>65</v>
      </c>
      <c r="B39" s="171">
        <v>68561892240</v>
      </c>
      <c r="C39" s="171">
        <v>84193179994.800003</v>
      </c>
      <c r="D39" s="171">
        <v>93169809796</v>
      </c>
      <c r="E39" s="171">
        <v>95173914473</v>
      </c>
      <c r="F39" s="171">
        <v>102582739837</v>
      </c>
      <c r="G39" s="171">
        <v>104613194654</v>
      </c>
      <c r="H39" s="171">
        <v>104271233277</v>
      </c>
      <c r="I39" s="171"/>
      <c r="J39" s="171"/>
      <c r="K39" s="189"/>
    </row>
    <row r="40" spans="1:15" x14ac:dyDescent="0.2">
      <c r="A40" s="175" t="s">
        <v>66</v>
      </c>
      <c r="B40" s="171">
        <v>11323748040</v>
      </c>
      <c r="C40" s="171">
        <v>14324651000</v>
      </c>
      <c r="D40" s="171">
        <v>11382752000</v>
      </c>
      <c r="E40" s="171">
        <v>4005132000</v>
      </c>
      <c r="F40" s="171">
        <v>4568836000</v>
      </c>
      <c r="G40" s="171">
        <v>9383272000</v>
      </c>
      <c r="H40" s="171">
        <v>17344799817.5</v>
      </c>
      <c r="I40" s="171"/>
      <c r="J40" s="171"/>
      <c r="K40" s="189"/>
    </row>
    <row r="41" spans="1:15" x14ac:dyDescent="0.2">
      <c r="A41" s="175" t="s">
        <v>67</v>
      </c>
      <c r="B41" s="171">
        <v>107136991</v>
      </c>
      <c r="C41" s="171">
        <v>81953484</v>
      </c>
      <c r="D41" s="171"/>
      <c r="E41" s="171"/>
      <c r="F41" s="171"/>
      <c r="G41" s="171"/>
      <c r="H41" s="171"/>
      <c r="I41" s="171"/>
      <c r="J41" s="171"/>
      <c r="K41" s="189"/>
    </row>
    <row r="42" spans="1:15" x14ac:dyDescent="0.2">
      <c r="A42" s="175" t="s">
        <v>68</v>
      </c>
      <c r="B42" s="171">
        <v>172094132</v>
      </c>
      <c r="C42" s="171">
        <v>-133071605</v>
      </c>
      <c r="D42" s="171"/>
      <c r="E42" s="171"/>
      <c r="F42" s="171"/>
      <c r="G42" s="171"/>
      <c r="H42" s="171"/>
      <c r="I42" s="171"/>
      <c r="J42" s="171"/>
      <c r="K42" s="189"/>
    </row>
    <row r="43" spans="1:15" x14ac:dyDescent="0.2">
      <c r="A43" s="175" t="s">
        <v>69</v>
      </c>
      <c r="B43" s="171">
        <v>7083842100</v>
      </c>
      <c r="C43" s="171">
        <v>7863507004</v>
      </c>
      <c r="D43" s="171">
        <v>11629597000</v>
      </c>
      <c r="E43" s="171">
        <v>13559165000</v>
      </c>
      <c r="F43" s="171">
        <v>11298179000</v>
      </c>
      <c r="G43" s="171">
        <v>20816604000</v>
      </c>
      <c r="H43" s="171">
        <v>26867627000</v>
      </c>
      <c r="I43" s="171">
        <v>2805982000</v>
      </c>
      <c r="J43" s="171">
        <v>15813370483</v>
      </c>
      <c r="K43" s="189">
        <v>31122457600</v>
      </c>
    </row>
    <row r="44" spans="1:15" x14ac:dyDescent="0.2">
      <c r="A44" s="175" t="s">
        <v>70</v>
      </c>
      <c r="B44" s="171">
        <v>32504975233</v>
      </c>
      <c r="C44" s="171">
        <v>33427681183</v>
      </c>
      <c r="D44" s="171">
        <v>33929220240</v>
      </c>
      <c r="E44" s="171">
        <v>33855780006</v>
      </c>
      <c r="F44" s="171">
        <v>32771357676</v>
      </c>
      <c r="G44" s="171">
        <v>30867253639</v>
      </c>
      <c r="H44" s="171">
        <v>31417528074</v>
      </c>
      <c r="I44" s="171"/>
      <c r="J44" s="171"/>
      <c r="K44" s="189"/>
    </row>
    <row r="45" spans="1:15" x14ac:dyDescent="0.2">
      <c r="A45" s="175" t="s">
        <v>47</v>
      </c>
      <c r="B45" s="171">
        <v>3090059886.27</v>
      </c>
      <c r="C45" s="171">
        <v>2903424455.7199998</v>
      </c>
      <c r="D45" s="171">
        <v>3616509624.6199999</v>
      </c>
      <c r="E45" s="171">
        <v>4088173065.1100001</v>
      </c>
      <c r="F45" s="171">
        <v>4795342950.5900002</v>
      </c>
      <c r="G45" s="171">
        <v>5614336507.4200001</v>
      </c>
      <c r="H45" s="171">
        <v>6743436205.5</v>
      </c>
      <c r="I45" s="171"/>
      <c r="J45" s="171"/>
      <c r="K45" s="189"/>
    </row>
    <row r="46" spans="1:15" x14ac:dyDescent="0.2">
      <c r="A46" s="175" t="s">
        <v>71</v>
      </c>
      <c r="B46" s="171">
        <v>3615179311.9899998</v>
      </c>
      <c r="C46" s="171">
        <v>3528321710</v>
      </c>
      <c r="D46" s="171">
        <v>3653185367</v>
      </c>
      <c r="E46" s="171">
        <v>4256703803.9299998</v>
      </c>
      <c r="F46" s="171">
        <v>4636106142</v>
      </c>
      <c r="G46" s="171">
        <v>6206421223</v>
      </c>
      <c r="H46" s="171">
        <v>4860644780</v>
      </c>
      <c r="I46" s="171"/>
      <c r="J46" s="171"/>
      <c r="K46" s="189"/>
    </row>
    <row r="47" spans="1:15" x14ac:dyDescent="0.2">
      <c r="A47" s="175" t="s">
        <v>72</v>
      </c>
      <c r="B47" s="171">
        <v>1235696129.4000001</v>
      </c>
      <c r="C47" s="171">
        <v>1372339450</v>
      </c>
      <c r="D47" s="171">
        <v>1501087672</v>
      </c>
      <c r="E47" s="171">
        <v>1643851243.5</v>
      </c>
      <c r="F47" s="171">
        <v>1514852864.74</v>
      </c>
      <c r="G47" s="171">
        <v>1482096253</v>
      </c>
      <c r="H47" s="171">
        <v>0</v>
      </c>
      <c r="I47" s="171"/>
      <c r="J47" s="171"/>
      <c r="K47" s="189"/>
    </row>
    <row r="48" spans="1:15" x14ac:dyDescent="0.2">
      <c r="A48" s="175" t="s">
        <v>74</v>
      </c>
      <c r="B48" s="171">
        <v>1235696129.4000001</v>
      </c>
      <c r="C48" s="171">
        <v>1341571621</v>
      </c>
      <c r="D48" s="171">
        <v>1490544617.5999999</v>
      </c>
      <c r="E48" s="171">
        <v>1631115159.5</v>
      </c>
      <c r="F48" s="171">
        <v>1507614305</v>
      </c>
      <c r="G48" s="171">
        <v>1435879358</v>
      </c>
      <c r="H48" s="171">
        <v>1172925027</v>
      </c>
      <c r="I48" s="171"/>
      <c r="J48" s="171"/>
      <c r="K48" s="189"/>
    </row>
    <row r="49" spans="1:17" x14ac:dyDescent="0.2">
      <c r="A49" s="190" t="s">
        <v>166</v>
      </c>
      <c r="B49" s="171"/>
      <c r="C49" s="171"/>
      <c r="D49" s="171"/>
      <c r="E49" s="171"/>
      <c r="F49" s="171"/>
      <c r="G49" s="171"/>
      <c r="H49" s="171">
        <v>12923945</v>
      </c>
      <c r="I49" s="171"/>
      <c r="J49" s="171"/>
      <c r="K49" s="189"/>
    </row>
    <row r="50" spans="1:17" s="46" customFormat="1" x14ac:dyDescent="0.2">
      <c r="A50" s="173" t="s">
        <v>139</v>
      </c>
      <c r="B50" s="170">
        <v>54599840152.150002</v>
      </c>
      <c r="C50" s="170">
        <v>58133487091</v>
      </c>
      <c r="D50" s="170">
        <v>69601873046</v>
      </c>
      <c r="E50" s="170">
        <v>67501186880</v>
      </c>
      <c r="F50" s="170">
        <v>67349606950.5</v>
      </c>
      <c r="G50" s="170">
        <v>66644111142.400002</v>
      </c>
      <c r="H50" s="170">
        <v>62360621971.340004</v>
      </c>
      <c r="I50" s="170">
        <v>65787760725.999992</v>
      </c>
      <c r="J50" s="170">
        <v>50926867702</v>
      </c>
      <c r="K50" s="174">
        <v>74736256205</v>
      </c>
      <c r="N50" s="61"/>
      <c r="O50" s="52"/>
    </row>
    <row r="51" spans="1:17" x14ac:dyDescent="0.2">
      <c r="A51" s="175" t="s">
        <v>75</v>
      </c>
      <c r="B51" s="171">
        <v>54599840152.150002</v>
      </c>
      <c r="C51" s="171">
        <v>58133487091</v>
      </c>
      <c r="D51" s="171">
        <v>69601873046</v>
      </c>
      <c r="E51" s="171">
        <v>67501186880</v>
      </c>
      <c r="F51" s="171">
        <v>67349606950.5</v>
      </c>
      <c r="G51" s="171">
        <v>66644111142.400002</v>
      </c>
      <c r="H51" s="171">
        <v>62360621971.340004</v>
      </c>
      <c r="I51" s="171">
        <v>65787760725.999992</v>
      </c>
      <c r="J51" s="171">
        <v>50926867702</v>
      </c>
      <c r="K51" s="189">
        <v>74736256205</v>
      </c>
    </row>
    <row r="52" spans="1:17" x14ac:dyDescent="0.2">
      <c r="A52" s="175" t="s">
        <v>76</v>
      </c>
      <c r="B52" s="171">
        <v>73798453722</v>
      </c>
      <c r="C52" s="171">
        <v>141623454717</v>
      </c>
      <c r="D52" s="171">
        <v>132297180333</v>
      </c>
      <c r="E52" s="171">
        <v>77068009932</v>
      </c>
      <c r="F52" s="171">
        <v>95790562000</v>
      </c>
      <c r="G52" s="171">
        <v>128392500000</v>
      </c>
      <c r="H52" s="171">
        <v>119300583917</v>
      </c>
      <c r="I52" s="171">
        <v>198514652651.89999</v>
      </c>
      <c r="J52" s="171">
        <v>72162655574</v>
      </c>
      <c r="K52" s="189">
        <v>93068700614</v>
      </c>
    </row>
    <row r="53" spans="1:17" x14ac:dyDescent="0.2">
      <c r="A53" s="175" t="s">
        <v>77</v>
      </c>
      <c r="B53" s="171">
        <v>84115143765</v>
      </c>
      <c r="C53" s="171">
        <v>130440849339</v>
      </c>
      <c r="D53" s="171">
        <v>104073217097</v>
      </c>
      <c r="E53" s="171">
        <v>117473796887</v>
      </c>
      <c r="F53" s="171">
        <v>82843857550</v>
      </c>
      <c r="G53" s="171">
        <v>98151314703</v>
      </c>
      <c r="H53" s="171">
        <v>77120253771</v>
      </c>
      <c r="I53" s="171">
        <v>115627836944</v>
      </c>
      <c r="J53" s="171">
        <v>59721995177</v>
      </c>
      <c r="K53" s="189">
        <v>55247886399</v>
      </c>
    </row>
    <row r="54" spans="1:17" x14ac:dyDescent="0.2">
      <c r="A54" s="175" t="s">
        <v>167</v>
      </c>
      <c r="B54" s="171"/>
      <c r="C54" s="171"/>
      <c r="D54" s="171"/>
      <c r="E54" s="171"/>
      <c r="F54" s="171"/>
      <c r="G54" s="171"/>
      <c r="H54" s="171"/>
      <c r="I54" s="171">
        <v>5163764948</v>
      </c>
      <c r="J54" s="171">
        <v>3404935475</v>
      </c>
      <c r="K54" s="189">
        <v>4812199776</v>
      </c>
    </row>
    <row r="55" spans="1:17" ht="17.25" customHeight="1" x14ac:dyDescent="0.2">
      <c r="A55" s="177" t="s">
        <v>78</v>
      </c>
      <c r="B55" s="171"/>
      <c r="C55" s="171">
        <v>12802360918</v>
      </c>
      <c r="D55" s="171">
        <v>4518700122</v>
      </c>
      <c r="E55" s="171">
        <v>8215115296</v>
      </c>
      <c r="F55" s="171">
        <v>9931471443.9300003</v>
      </c>
      <c r="G55" s="171">
        <v>6803916914.3500004</v>
      </c>
      <c r="H55" s="171">
        <v>13978210337.959999</v>
      </c>
      <c r="I55" s="171"/>
      <c r="J55" s="171"/>
      <c r="K55" s="189"/>
      <c r="L55" s="53"/>
      <c r="M55" s="53"/>
    </row>
    <row r="56" spans="1:17" s="46" customFormat="1" ht="15" x14ac:dyDescent="0.25">
      <c r="A56" s="173" t="s">
        <v>140</v>
      </c>
      <c r="B56" s="170">
        <v>15980723789.309999</v>
      </c>
      <c r="C56" s="170">
        <v>26765829800.439999</v>
      </c>
      <c r="D56" s="170">
        <v>11364653531.469999</v>
      </c>
      <c r="E56" s="170">
        <v>12419230794.309999</v>
      </c>
      <c r="F56" s="170">
        <v>18070075723.360001</v>
      </c>
      <c r="G56" s="187">
        <v>22208292468.950001</v>
      </c>
      <c r="H56" s="187">
        <v>20245489196.02</v>
      </c>
      <c r="I56" s="187">
        <v>20360657107.650002</v>
      </c>
      <c r="J56" s="187">
        <v>25990543607</v>
      </c>
      <c r="K56" s="191">
        <v>69698282765</v>
      </c>
      <c r="L56" s="56"/>
      <c r="M56" s="56"/>
    </row>
    <row r="57" spans="1:17" s="53" customFormat="1" x14ac:dyDescent="0.2">
      <c r="A57" s="175" t="s">
        <v>120</v>
      </c>
      <c r="B57" s="172"/>
      <c r="C57" s="172"/>
      <c r="D57" s="172"/>
      <c r="E57" s="172"/>
      <c r="F57" s="172">
        <v>266082884</v>
      </c>
      <c r="G57" s="172">
        <v>15917055</v>
      </c>
      <c r="H57" s="172">
        <v>4751707</v>
      </c>
      <c r="I57" s="172"/>
      <c r="J57" s="172"/>
      <c r="K57" s="176"/>
    </row>
    <row r="58" spans="1:17" s="46" customFormat="1" x14ac:dyDescent="0.2">
      <c r="A58" s="173" t="s">
        <v>127</v>
      </c>
      <c r="B58" s="170">
        <v>2202250242371.75</v>
      </c>
      <c r="C58" s="170">
        <v>2085483633588.1599</v>
      </c>
      <c r="D58" s="170">
        <v>2162310826692.54</v>
      </c>
      <c r="E58" s="170">
        <v>2293155023504.29</v>
      </c>
      <c r="F58" s="170">
        <v>2548430661161.7598</v>
      </c>
      <c r="G58" s="170">
        <v>2929210467085.25</v>
      </c>
      <c r="H58" s="170">
        <v>2865496478087.9399</v>
      </c>
      <c r="I58" s="170">
        <v>3332102710900.1001</v>
      </c>
      <c r="J58" s="170">
        <v>3750097209465</v>
      </c>
      <c r="K58" s="174">
        <v>4486109219275</v>
      </c>
      <c r="N58" s="53"/>
      <c r="O58" s="52"/>
      <c r="P58" s="52"/>
      <c r="Q58" s="52"/>
    </row>
    <row r="59" spans="1:17" s="46" customFormat="1" x14ac:dyDescent="0.2">
      <c r="A59" s="173" t="s">
        <v>126</v>
      </c>
      <c r="B59" s="170">
        <v>2018952609574.0701</v>
      </c>
      <c r="C59" s="170">
        <v>2062438624043</v>
      </c>
      <c r="D59" s="170">
        <v>2151875876367.76</v>
      </c>
      <c r="E59" s="170">
        <v>2252848868628</v>
      </c>
      <c r="F59" s="170">
        <v>2522392418102</v>
      </c>
      <c r="G59" s="170">
        <v>2869086563710</v>
      </c>
      <c r="H59" s="170">
        <v>2830246037863</v>
      </c>
      <c r="I59" s="170">
        <v>3307510142516.6401</v>
      </c>
      <c r="J59" s="170">
        <v>3660020152853</v>
      </c>
      <c r="K59" s="174">
        <v>3693292794710</v>
      </c>
      <c r="O59" s="52"/>
      <c r="P59" s="52"/>
      <c r="Q59" s="52"/>
    </row>
    <row r="60" spans="1:17" s="46" customFormat="1" x14ac:dyDescent="0.2">
      <c r="A60" s="173" t="s">
        <v>125</v>
      </c>
      <c r="B60" s="170">
        <v>2018505194761</v>
      </c>
      <c r="C60" s="170">
        <v>2040508145828</v>
      </c>
      <c r="D60" s="170">
        <v>2137129119080</v>
      </c>
      <c r="E60" s="170">
        <v>2217246389281</v>
      </c>
      <c r="F60" s="170">
        <v>2473892349536</v>
      </c>
      <c r="G60" s="170">
        <v>2791943347055</v>
      </c>
      <c r="H60" s="170">
        <v>2783572513399</v>
      </c>
      <c r="I60" s="170">
        <v>3126642232976</v>
      </c>
      <c r="J60" s="170">
        <v>3336138154925</v>
      </c>
      <c r="K60" s="174">
        <v>3491217937617</v>
      </c>
      <c r="M60" s="52"/>
      <c r="N60" s="53"/>
      <c r="O60" s="52"/>
      <c r="P60" s="52"/>
    </row>
    <row r="61" spans="1:17" s="46" customFormat="1" x14ac:dyDescent="0.2">
      <c r="A61" s="173" t="s">
        <v>79</v>
      </c>
      <c r="B61" s="170">
        <v>1345739676914</v>
      </c>
      <c r="C61" s="170">
        <v>1364787908862</v>
      </c>
      <c r="D61" s="170">
        <v>1434137838667</v>
      </c>
      <c r="E61" s="170">
        <v>1475328484419</v>
      </c>
      <c r="F61" s="170">
        <v>1673974956437</v>
      </c>
      <c r="G61" s="170">
        <v>1915068977074</v>
      </c>
      <c r="H61" s="170">
        <v>1914866094935</v>
      </c>
      <c r="I61" s="170">
        <v>2134213668169</v>
      </c>
      <c r="J61" s="170">
        <v>2378885306196</v>
      </c>
      <c r="K61" s="174">
        <v>2405238554805</v>
      </c>
      <c r="P61" s="52"/>
    </row>
    <row r="62" spans="1:17" x14ac:dyDescent="0.2">
      <c r="A62" s="175" t="s">
        <v>80</v>
      </c>
      <c r="B62" s="171">
        <v>1087702853939</v>
      </c>
      <c r="C62" s="171">
        <v>1094500600749</v>
      </c>
      <c r="D62" s="171">
        <v>1153593107727</v>
      </c>
      <c r="E62" s="171">
        <v>1196878589235</v>
      </c>
      <c r="F62" s="171">
        <v>1348454591127</v>
      </c>
      <c r="G62" s="171">
        <v>1563679207191</v>
      </c>
      <c r="H62" s="171">
        <v>1572052997183</v>
      </c>
      <c r="I62" s="171">
        <v>2003108005565</v>
      </c>
      <c r="J62" s="171">
        <v>2225655229437</v>
      </c>
      <c r="K62" s="189">
        <v>2256173360815</v>
      </c>
    </row>
    <row r="63" spans="1:17" x14ac:dyDescent="0.2">
      <c r="A63" s="175" t="s">
        <v>81</v>
      </c>
      <c r="B63" s="171">
        <v>129775698561</v>
      </c>
      <c r="C63" s="171">
        <v>134381720551</v>
      </c>
      <c r="D63" s="171">
        <v>145331520353</v>
      </c>
      <c r="E63" s="171">
        <v>153671888225</v>
      </c>
      <c r="F63" s="171">
        <v>176370951981</v>
      </c>
      <c r="G63" s="171">
        <v>191486325743</v>
      </c>
      <c r="H63" s="171">
        <v>210019493960</v>
      </c>
      <c r="I63" s="171"/>
      <c r="J63" s="171"/>
      <c r="K63" s="189"/>
    </row>
    <row r="64" spans="1:17" x14ac:dyDescent="0.2">
      <c r="A64" s="175" t="s">
        <v>82</v>
      </c>
      <c r="B64" s="171">
        <v>45238840131</v>
      </c>
      <c r="C64" s="171">
        <v>46596005335</v>
      </c>
      <c r="D64" s="171">
        <v>49939319023</v>
      </c>
      <c r="E64" s="171">
        <v>34957523316</v>
      </c>
      <c r="F64" s="171">
        <v>39837471051</v>
      </c>
      <c r="G64" s="171">
        <v>49936165241</v>
      </c>
      <c r="H64" s="171">
        <v>51739890465</v>
      </c>
      <c r="I64" s="171">
        <v>52195076200</v>
      </c>
      <c r="J64" s="171">
        <v>53470025679</v>
      </c>
      <c r="K64" s="189">
        <v>53462370789</v>
      </c>
    </row>
    <row r="65" spans="1:11" x14ac:dyDescent="0.2">
      <c r="A65" s="175" t="s">
        <v>83</v>
      </c>
      <c r="B65" s="171">
        <v>83022284283</v>
      </c>
      <c r="C65" s="171">
        <v>35835322227</v>
      </c>
      <c r="D65" s="171">
        <v>31475617564</v>
      </c>
      <c r="E65" s="171">
        <v>33961189968</v>
      </c>
      <c r="F65" s="171">
        <v>45766848512</v>
      </c>
      <c r="G65" s="171">
        <v>44484152320</v>
      </c>
      <c r="H65" s="171">
        <v>31419762176</v>
      </c>
      <c r="I65" s="171">
        <v>30722186752</v>
      </c>
      <c r="J65" s="171">
        <v>33052050197</v>
      </c>
      <c r="K65" s="189">
        <v>43607890944</v>
      </c>
    </row>
    <row r="66" spans="1:11" x14ac:dyDescent="0.2">
      <c r="A66" s="175" t="s">
        <v>84</v>
      </c>
      <c r="B66" s="171"/>
      <c r="C66" s="171">
        <v>53474260000</v>
      </c>
      <c r="D66" s="171">
        <v>53798274000</v>
      </c>
      <c r="E66" s="171">
        <v>55859293675</v>
      </c>
      <c r="F66" s="171">
        <v>60136368073</v>
      </c>
      <c r="G66" s="171">
        <v>56976375421</v>
      </c>
      <c r="H66" s="171">
        <v>49633951151</v>
      </c>
      <c r="I66" s="171">
        <v>48188399652</v>
      </c>
      <c r="J66" s="171">
        <v>66708000883</v>
      </c>
      <c r="K66" s="189">
        <v>51994932257</v>
      </c>
    </row>
    <row r="67" spans="1:11" x14ac:dyDescent="0.2">
      <c r="A67" s="175" t="s">
        <v>121</v>
      </c>
      <c r="B67" s="171"/>
      <c r="C67" s="171"/>
      <c r="D67" s="171"/>
      <c r="E67" s="171"/>
      <c r="F67" s="171">
        <v>3408725693</v>
      </c>
      <c r="G67" s="171">
        <v>8506751158</v>
      </c>
      <c r="H67" s="171"/>
      <c r="I67" s="171"/>
      <c r="J67" s="171"/>
      <c r="K67" s="189"/>
    </row>
    <row r="68" spans="1:11" s="46" customFormat="1" x14ac:dyDescent="0.2">
      <c r="A68" s="173" t="s">
        <v>85</v>
      </c>
      <c r="B68" s="170">
        <v>444724152205</v>
      </c>
      <c r="C68" s="170">
        <v>427061404538</v>
      </c>
      <c r="D68" s="170">
        <v>466926156071</v>
      </c>
      <c r="E68" s="170">
        <v>464096912783</v>
      </c>
      <c r="F68" s="170">
        <v>495484398482</v>
      </c>
      <c r="G68" s="170">
        <v>540862082546</v>
      </c>
      <c r="H68" s="170">
        <v>529593219955</v>
      </c>
      <c r="I68" s="170">
        <v>620345091543</v>
      </c>
      <c r="J68" s="170">
        <v>577836152481</v>
      </c>
      <c r="K68" s="174">
        <v>700088769821</v>
      </c>
    </row>
    <row r="69" spans="1:11" x14ac:dyDescent="0.2">
      <c r="A69" s="192" t="s">
        <v>80</v>
      </c>
      <c r="B69" s="171">
        <v>94159146345</v>
      </c>
      <c r="C69" s="171">
        <v>87459734570</v>
      </c>
      <c r="D69" s="171">
        <v>81696655028</v>
      </c>
      <c r="E69" s="171">
        <v>21321073092</v>
      </c>
      <c r="F69" s="171">
        <v>14127310622</v>
      </c>
      <c r="G69" s="171">
        <v>26808917195</v>
      </c>
      <c r="H69" s="171">
        <v>29399647576</v>
      </c>
      <c r="I69" s="171">
        <v>38390063623</v>
      </c>
      <c r="J69" s="171">
        <v>4535972639</v>
      </c>
      <c r="K69" s="189"/>
    </row>
    <row r="70" spans="1:11" x14ac:dyDescent="0.2">
      <c r="A70" s="192" t="s">
        <v>86</v>
      </c>
      <c r="B70" s="171"/>
      <c r="C70" s="171"/>
      <c r="D70" s="171"/>
      <c r="E70" s="171"/>
      <c r="F70" s="171"/>
      <c r="G70" s="171"/>
      <c r="H70" s="171"/>
      <c r="I70" s="171">
        <v>435935989234</v>
      </c>
      <c r="J70" s="171">
        <v>471132341044</v>
      </c>
      <c r="K70" s="189">
        <v>591309997208</v>
      </c>
    </row>
    <row r="71" spans="1:11" x14ac:dyDescent="0.2">
      <c r="A71" s="192" t="s">
        <v>87</v>
      </c>
      <c r="B71" s="171">
        <v>223486347299</v>
      </c>
      <c r="C71" s="171">
        <v>212283386323</v>
      </c>
      <c r="D71" s="171">
        <v>246858383118</v>
      </c>
      <c r="E71" s="171">
        <v>310711604534</v>
      </c>
      <c r="F71" s="171">
        <v>340030345073</v>
      </c>
      <c r="G71" s="171">
        <v>361281337939</v>
      </c>
      <c r="H71" s="171">
        <v>361749152767</v>
      </c>
      <c r="I71" s="171"/>
      <c r="J71" s="171"/>
      <c r="K71" s="189"/>
    </row>
    <row r="72" spans="1:11" x14ac:dyDescent="0.2">
      <c r="A72" s="192" t="s">
        <v>87</v>
      </c>
      <c r="B72" s="171"/>
      <c r="C72" s="171"/>
      <c r="D72" s="171"/>
      <c r="E72" s="171"/>
      <c r="F72" s="171"/>
      <c r="G72" s="188"/>
      <c r="H72" s="188"/>
      <c r="I72" s="188"/>
      <c r="J72" s="188"/>
      <c r="K72" s="193"/>
    </row>
    <row r="73" spans="1:11" x14ac:dyDescent="0.2">
      <c r="A73" s="192" t="s">
        <v>88</v>
      </c>
      <c r="B73" s="171">
        <v>63280953883</v>
      </c>
      <c r="C73" s="171">
        <v>56147330565</v>
      </c>
      <c r="D73" s="171">
        <v>71748874501</v>
      </c>
      <c r="E73" s="171">
        <v>63003617624</v>
      </c>
      <c r="F73" s="171">
        <v>70194306728</v>
      </c>
      <c r="G73" s="171">
        <v>92560240388</v>
      </c>
      <c r="H73" s="171">
        <v>78232832574</v>
      </c>
      <c r="I73" s="171">
        <v>85807451662</v>
      </c>
      <c r="J73" s="171">
        <v>102167838798</v>
      </c>
      <c r="K73" s="189">
        <v>108778772613</v>
      </c>
    </row>
    <row r="74" spans="1:11" x14ac:dyDescent="0.2">
      <c r="A74" s="175" t="s">
        <v>81</v>
      </c>
      <c r="B74" s="171">
        <v>63797704678</v>
      </c>
      <c r="C74" s="171">
        <v>71170953080</v>
      </c>
      <c r="D74" s="171">
        <v>66622243424</v>
      </c>
      <c r="E74" s="171">
        <v>69060617533</v>
      </c>
      <c r="F74" s="171">
        <v>71132436059</v>
      </c>
      <c r="G74" s="171">
        <v>60211587024</v>
      </c>
      <c r="H74" s="171">
        <v>60211587038</v>
      </c>
      <c r="I74" s="171">
        <v>60211587024</v>
      </c>
      <c r="J74" s="171"/>
      <c r="K74" s="189"/>
    </row>
    <row r="75" spans="1:11" x14ac:dyDescent="0.2">
      <c r="A75" s="175" t="s">
        <v>89</v>
      </c>
      <c r="B75" s="171">
        <v>137198043796</v>
      </c>
      <c r="C75" s="171">
        <v>147417084178</v>
      </c>
      <c r="D75" s="171">
        <v>153566765080</v>
      </c>
      <c r="E75" s="171">
        <v>162421471935</v>
      </c>
      <c r="F75" s="171">
        <v>176907011705</v>
      </c>
      <c r="G75" s="171">
        <v>198167006953</v>
      </c>
      <c r="H75" s="171">
        <v>200756348663</v>
      </c>
      <c r="I75" s="171">
        <v>225312266603</v>
      </c>
      <c r="J75" s="171">
        <v>225767311020</v>
      </c>
      <c r="K75" s="176">
        <v>240729857059</v>
      </c>
    </row>
    <row r="76" spans="1:11" x14ac:dyDescent="0.2">
      <c r="A76" s="175" t="s">
        <v>90</v>
      </c>
      <c r="B76" s="171">
        <v>5115576279</v>
      </c>
      <c r="C76" s="171">
        <v>5422187468</v>
      </c>
      <c r="D76" s="171">
        <v>5933076111</v>
      </c>
      <c r="E76" s="171">
        <v>5860511876</v>
      </c>
      <c r="F76" s="171">
        <v>6336218823</v>
      </c>
      <c r="G76" s="171">
        <v>7950302819</v>
      </c>
      <c r="H76" s="171">
        <v>7513603311</v>
      </c>
      <c r="I76" s="171">
        <v>7797934376</v>
      </c>
      <c r="J76" s="171">
        <v>11707830975</v>
      </c>
      <c r="K76" s="189">
        <v>8175492485</v>
      </c>
    </row>
    <row r="77" spans="1:11" x14ac:dyDescent="0.2">
      <c r="A77" s="175" t="s">
        <v>91</v>
      </c>
      <c r="B77" s="171">
        <v>68604790731</v>
      </c>
      <c r="C77" s="171">
        <v>64767543083</v>
      </c>
      <c r="D77" s="171">
        <v>62596322758</v>
      </c>
      <c r="E77" s="171">
        <v>84157467136</v>
      </c>
      <c r="F77" s="171">
        <v>93951685332</v>
      </c>
      <c r="G77" s="171">
        <v>100887035991</v>
      </c>
      <c r="H77" s="171">
        <v>107816939111</v>
      </c>
      <c r="I77" s="171">
        <v>114228847527</v>
      </c>
      <c r="J77" s="171">
        <v>116757614816</v>
      </c>
      <c r="K77" s="189">
        <v>109775966076</v>
      </c>
    </row>
    <row r="78" spans="1:11" x14ac:dyDescent="0.2">
      <c r="A78" s="175" t="s">
        <v>92</v>
      </c>
      <c r="B78" s="171">
        <v>14564710651</v>
      </c>
      <c r="C78" s="171">
        <v>13952851869</v>
      </c>
      <c r="D78" s="171">
        <v>13968960393</v>
      </c>
      <c r="E78" s="171">
        <v>18592920677</v>
      </c>
      <c r="F78" s="171">
        <v>20802591841</v>
      </c>
      <c r="G78" s="171">
        <v>22913971745</v>
      </c>
      <c r="H78" s="171">
        <v>23026307424</v>
      </c>
      <c r="I78" s="171">
        <v>24744424758</v>
      </c>
      <c r="J78" s="171">
        <v>25183939437</v>
      </c>
      <c r="K78" s="189">
        <v>27209297371</v>
      </c>
    </row>
    <row r="79" spans="1:11" x14ac:dyDescent="0.2">
      <c r="A79" s="175" t="s">
        <v>93</v>
      </c>
      <c r="B79" s="171">
        <v>2558244185</v>
      </c>
      <c r="C79" s="171">
        <v>17099165830</v>
      </c>
      <c r="D79" s="171"/>
      <c r="E79" s="171">
        <v>6788620455</v>
      </c>
      <c r="F79" s="171">
        <v>6435486916</v>
      </c>
      <c r="G79" s="171">
        <v>6093969927</v>
      </c>
      <c r="H79" s="171"/>
      <c r="I79" s="171"/>
      <c r="J79" s="171"/>
      <c r="K79" s="189"/>
    </row>
    <row r="80" spans="1:11" x14ac:dyDescent="0.2">
      <c r="A80" s="175" t="s">
        <v>152</v>
      </c>
      <c r="B80" s="171"/>
      <c r="C80" s="171"/>
      <c r="D80" s="171"/>
      <c r="E80" s="171"/>
      <c r="F80" s="171"/>
      <c r="G80" s="171"/>
      <c r="H80" s="171"/>
      <c r="I80" s="171">
        <v>180867909540.64001</v>
      </c>
      <c r="J80" s="171">
        <v>169911678109</v>
      </c>
      <c r="K80" s="189">
        <v>202066989230</v>
      </c>
    </row>
    <row r="81" spans="1:14" ht="25.5" x14ac:dyDescent="0.2">
      <c r="A81" s="177" t="s">
        <v>153</v>
      </c>
      <c r="B81" s="171"/>
      <c r="C81" s="171"/>
      <c r="D81" s="171"/>
      <c r="E81" s="171"/>
      <c r="F81" s="171"/>
      <c r="G81" s="171"/>
      <c r="H81" s="171"/>
      <c r="I81" s="171"/>
      <c r="J81" s="171">
        <v>153970319819</v>
      </c>
      <c r="K81" s="189">
        <v>7867863</v>
      </c>
    </row>
    <row r="82" spans="1:14" x14ac:dyDescent="0.2">
      <c r="A82" s="175" t="s">
        <v>154</v>
      </c>
      <c r="B82" s="171"/>
      <c r="C82" s="171"/>
      <c r="D82" s="171"/>
      <c r="E82" s="171"/>
      <c r="F82" s="171"/>
      <c r="G82" s="171"/>
      <c r="H82" s="171"/>
      <c r="I82" s="171">
        <v>9345927881.0500011</v>
      </c>
      <c r="J82" s="171">
        <v>8146963113</v>
      </c>
      <c r="K82" s="189">
        <v>10702041324</v>
      </c>
    </row>
    <row r="83" spans="1:14" s="46" customFormat="1" x14ac:dyDescent="0.2">
      <c r="A83" s="173" t="s">
        <v>132</v>
      </c>
      <c r="B83" s="170"/>
      <c r="C83" s="170"/>
      <c r="D83" s="170"/>
      <c r="E83" s="170"/>
      <c r="F83" s="170"/>
      <c r="G83" s="170"/>
      <c r="H83" s="170"/>
      <c r="I83" s="170">
        <v>2884758000</v>
      </c>
      <c r="J83" s="170">
        <v>2979955000</v>
      </c>
      <c r="K83" s="174">
        <v>3069355000</v>
      </c>
    </row>
    <row r="84" spans="1:14" x14ac:dyDescent="0.2">
      <c r="A84" s="175" t="s">
        <v>94</v>
      </c>
      <c r="B84" s="171"/>
      <c r="C84" s="171"/>
      <c r="D84" s="171"/>
      <c r="E84" s="171"/>
      <c r="F84" s="171"/>
      <c r="G84" s="171"/>
      <c r="H84" s="171"/>
      <c r="I84" s="171">
        <v>2884758000</v>
      </c>
      <c r="J84" s="171">
        <v>2979955000</v>
      </c>
      <c r="K84" s="189">
        <v>3069355000</v>
      </c>
      <c r="L84" s="53"/>
    </row>
    <row r="85" spans="1:14" x14ac:dyDescent="0.2">
      <c r="A85" s="175" t="s">
        <v>141</v>
      </c>
      <c r="B85" s="171">
        <v>447414813.06999999</v>
      </c>
      <c r="C85" s="171">
        <v>21930478215</v>
      </c>
      <c r="D85" s="171">
        <v>14746757287.76</v>
      </c>
      <c r="E85" s="171">
        <v>35602479347</v>
      </c>
      <c r="F85" s="171">
        <v>48500068566</v>
      </c>
      <c r="G85" s="171">
        <v>77143216655</v>
      </c>
      <c r="H85" s="171">
        <v>46673524464</v>
      </c>
      <c r="I85" s="171"/>
      <c r="J85" s="171"/>
      <c r="K85" s="189"/>
      <c r="N85" s="48"/>
    </row>
    <row r="86" spans="1:14" x14ac:dyDescent="0.2">
      <c r="A86" s="175" t="s">
        <v>154</v>
      </c>
      <c r="B86" s="171"/>
      <c r="C86" s="171"/>
      <c r="D86" s="171"/>
      <c r="E86" s="171"/>
      <c r="F86" s="171"/>
      <c r="G86" s="171"/>
      <c r="H86" s="171"/>
      <c r="I86" s="171">
        <v>17969159</v>
      </c>
      <c r="J86" s="171"/>
      <c r="K86" s="189"/>
    </row>
    <row r="87" spans="1:14" s="46" customFormat="1" x14ac:dyDescent="0.2">
      <c r="A87" s="173" t="s">
        <v>133</v>
      </c>
      <c r="B87" s="170">
        <v>168928713665</v>
      </c>
      <c r="C87" s="170">
        <v>6057113866</v>
      </c>
      <c r="D87" s="170"/>
      <c r="E87" s="170">
        <v>20200000000</v>
      </c>
      <c r="F87" s="170">
        <v>0</v>
      </c>
      <c r="G87" s="170">
        <v>13387720140</v>
      </c>
      <c r="H87" s="170">
        <v>0</v>
      </c>
      <c r="I87" s="170">
        <v>11060400082.41</v>
      </c>
      <c r="J87" s="170">
        <v>74689420153</v>
      </c>
      <c r="K87" s="174">
        <v>22162578950</v>
      </c>
    </row>
    <row r="88" spans="1:14" x14ac:dyDescent="0.2">
      <c r="A88" s="175" t="s">
        <v>95</v>
      </c>
      <c r="B88" s="171"/>
      <c r="C88" s="171">
        <v>3661753</v>
      </c>
      <c r="D88" s="171"/>
      <c r="E88" s="171"/>
      <c r="F88" s="171"/>
      <c r="G88" s="171"/>
      <c r="H88" s="171"/>
      <c r="I88" s="171"/>
      <c r="J88" s="171"/>
      <c r="K88" s="189"/>
    </row>
    <row r="89" spans="1:14" x14ac:dyDescent="0.2">
      <c r="A89" s="175" t="s">
        <v>96</v>
      </c>
      <c r="B89" s="171">
        <v>168928713665</v>
      </c>
      <c r="C89" s="171">
        <v>6053452113</v>
      </c>
      <c r="D89" s="171"/>
      <c r="E89" s="171">
        <v>20200000000</v>
      </c>
      <c r="F89" s="171">
        <v>0</v>
      </c>
      <c r="G89" s="171">
        <v>13387720140</v>
      </c>
      <c r="H89" s="171">
        <v>0</v>
      </c>
      <c r="I89" s="171"/>
      <c r="J89" s="171"/>
      <c r="K89" s="189"/>
    </row>
    <row r="90" spans="1:14" x14ac:dyDescent="0.2">
      <c r="A90" s="194" t="s">
        <v>201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89">
        <v>1293175717</v>
      </c>
    </row>
    <row r="91" spans="1:14" x14ac:dyDescent="0.2">
      <c r="A91" s="175" t="s">
        <v>155</v>
      </c>
      <c r="B91" s="171"/>
      <c r="C91" s="171"/>
      <c r="D91" s="171"/>
      <c r="E91" s="171"/>
      <c r="F91" s="171"/>
      <c r="G91" s="171"/>
      <c r="H91" s="171"/>
      <c r="I91" s="171">
        <v>0</v>
      </c>
      <c r="J91" s="171">
        <v>58378332086</v>
      </c>
      <c r="K91" s="189">
        <v>1999999913</v>
      </c>
    </row>
    <row r="92" spans="1:14" x14ac:dyDescent="0.2">
      <c r="A92" s="177" t="s">
        <v>156</v>
      </c>
      <c r="B92" s="171"/>
      <c r="C92" s="171"/>
      <c r="D92" s="171"/>
      <c r="E92" s="171"/>
      <c r="F92" s="171"/>
      <c r="G92" s="171"/>
      <c r="H92" s="171"/>
      <c r="I92" s="171">
        <v>9508111142</v>
      </c>
      <c r="J92" s="171">
        <v>3955012640</v>
      </c>
      <c r="K92" s="189">
        <v>3079414357</v>
      </c>
    </row>
    <row r="93" spans="1:14" x14ac:dyDescent="0.2">
      <c r="A93" s="175" t="s">
        <v>196</v>
      </c>
      <c r="B93" s="171"/>
      <c r="C93" s="171"/>
      <c r="D93" s="171"/>
      <c r="E93" s="171"/>
      <c r="F93" s="171"/>
      <c r="G93" s="171"/>
      <c r="H93" s="171"/>
      <c r="I93" s="171">
        <v>1552288940.4100001</v>
      </c>
      <c r="J93" s="171">
        <v>12356075427</v>
      </c>
      <c r="K93" s="189">
        <v>15789988963</v>
      </c>
    </row>
    <row r="94" spans="1:14" s="46" customFormat="1" x14ac:dyDescent="0.2">
      <c r="A94" s="173" t="s">
        <v>134</v>
      </c>
      <c r="B94" s="170">
        <v>14368919132.68</v>
      </c>
      <c r="C94" s="170">
        <v>16987895679.16</v>
      </c>
      <c r="D94" s="170">
        <v>10434950324.779999</v>
      </c>
      <c r="E94" s="170">
        <v>20106154876.290001</v>
      </c>
      <c r="F94" s="170">
        <v>26038243059.759998</v>
      </c>
      <c r="G94" s="170">
        <v>46736183235.25</v>
      </c>
      <c r="H94" s="170">
        <v>35250440224.940002</v>
      </c>
      <c r="I94" s="170">
        <v>1283513261</v>
      </c>
      <c r="J94" s="170">
        <v>4260718346</v>
      </c>
      <c r="K94" s="174">
        <v>756882449291</v>
      </c>
    </row>
    <row r="95" spans="1:14" ht="25.5" x14ac:dyDescent="0.2">
      <c r="A95" s="177" t="s">
        <v>97</v>
      </c>
      <c r="B95" s="171">
        <v>12074919132.68</v>
      </c>
      <c r="C95" s="171">
        <v>14625075679.16</v>
      </c>
      <c r="D95" s="171">
        <v>8001245724.7799997</v>
      </c>
      <c r="E95" s="171">
        <v>17599438876.290001</v>
      </c>
      <c r="F95" s="171">
        <v>23456326059.759998</v>
      </c>
      <c r="G95" s="171">
        <v>44050989235.25</v>
      </c>
      <c r="H95" s="171">
        <v>32457838224.939999</v>
      </c>
      <c r="I95" s="171">
        <v>1283513261</v>
      </c>
      <c r="J95" s="171"/>
      <c r="K95" s="189"/>
    </row>
    <row r="96" spans="1:14" x14ac:dyDescent="0.2">
      <c r="A96" s="175" t="s">
        <v>98</v>
      </c>
      <c r="B96" s="171"/>
      <c r="C96" s="171"/>
      <c r="D96" s="171"/>
      <c r="E96" s="171"/>
      <c r="F96" s="171"/>
      <c r="G96" s="171"/>
      <c r="H96" s="171"/>
      <c r="I96" s="171"/>
      <c r="J96" s="171">
        <v>1242685227</v>
      </c>
      <c r="K96" s="189"/>
    </row>
    <row r="97" spans="1:15" x14ac:dyDescent="0.2">
      <c r="A97" s="175" t="s">
        <v>99</v>
      </c>
      <c r="B97" s="171"/>
      <c r="C97" s="171"/>
      <c r="D97" s="171"/>
      <c r="E97" s="171"/>
      <c r="F97" s="171"/>
      <c r="G97" s="171"/>
      <c r="H97" s="171">
        <v>2792602000</v>
      </c>
      <c r="I97" s="171"/>
      <c r="J97" s="171">
        <v>3018033119</v>
      </c>
      <c r="K97" s="189">
        <v>756882449291</v>
      </c>
    </row>
    <row r="98" spans="1:15" x14ac:dyDescent="0.2">
      <c r="A98" s="175" t="s">
        <v>100</v>
      </c>
      <c r="B98" s="171">
        <v>2294000000</v>
      </c>
      <c r="C98" s="171">
        <v>2362820000</v>
      </c>
      <c r="D98" s="171">
        <v>2433704600</v>
      </c>
      <c r="E98" s="171">
        <v>2506716000</v>
      </c>
      <c r="F98" s="171">
        <v>2581917000</v>
      </c>
      <c r="G98" s="171">
        <v>2685194000</v>
      </c>
      <c r="H98" s="171">
        <v>2792602000</v>
      </c>
      <c r="I98" s="171"/>
      <c r="J98" s="171"/>
      <c r="K98" s="189"/>
    </row>
    <row r="99" spans="1:15" s="46" customFormat="1" x14ac:dyDescent="0.2">
      <c r="A99" s="173" t="s">
        <v>128</v>
      </c>
      <c r="B99" s="170">
        <v>1798950757010.3699</v>
      </c>
      <c r="C99" s="170">
        <v>2041002317549.3301</v>
      </c>
      <c r="D99" s="170">
        <v>2313178416074.0801</v>
      </c>
      <c r="E99" s="170">
        <v>2720691834941.0503</v>
      </c>
      <c r="F99" s="170">
        <v>2081194830985.8601</v>
      </c>
      <c r="G99" s="170">
        <v>3041992329402.8105</v>
      </c>
      <c r="H99" s="170">
        <v>4798500239103.7734</v>
      </c>
      <c r="I99" s="170">
        <v>5830003626777.4395</v>
      </c>
      <c r="J99" s="170">
        <v>4280567935491</v>
      </c>
      <c r="K99" s="174">
        <v>6387972355479</v>
      </c>
      <c r="N99" s="52"/>
      <c r="O99" s="52"/>
    </row>
    <row r="100" spans="1:15" x14ac:dyDescent="0.2">
      <c r="A100" s="175" t="s">
        <v>101</v>
      </c>
      <c r="B100" s="171"/>
      <c r="C100" s="171"/>
      <c r="D100" s="171">
        <v>302751962305</v>
      </c>
      <c r="E100" s="171"/>
      <c r="F100" s="171">
        <v>328705065490</v>
      </c>
      <c r="G100" s="171">
        <v>270353305209</v>
      </c>
      <c r="H100" s="171">
        <v>264217713870.85999</v>
      </c>
      <c r="I100" s="171">
        <v>303693215046</v>
      </c>
      <c r="J100" s="171">
        <v>105935428338</v>
      </c>
      <c r="K100" s="189">
        <v>250808660174</v>
      </c>
      <c r="N100" s="51"/>
    </row>
    <row r="101" spans="1:15" s="46" customFormat="1" x14ac:dyDescent="0.2">
      <c r="A101" s="173" t="s">
        <v>130</v>
      </c>
      <c r="B101" s="170">
        <v>1232922710656</v>
      </c>
      <c r="C101" s="170">
        <v>1381921778364.5</v>
      </c>
      <c r="D101" s="170">
        <v>1085834613482.7</v>
      </c>
      <c r="E101" s="170">
        <v>1443150257384.1001</v>
      </c>
      <c r="F101" s="170">
        <v>872414905666</v>
      </c>
      <c r="G101" s="170">
        <v>1020375488461</v>
      </c>
      <c r="H101" s="170">
        <v>3181821943829.73</v>
      </c>
      <c r="I101" s="170">
        <v>2555298042624</v>
      </c>
      <c r="J101" s="170">
        <v>1310268340931</v>
      </c>
      <c r="K101" s="174">
        <v>1612210933751</v>
      </c>
      <c r="O101" s="52"/>
    </row>
    <row r="102" spans="1:15" x14ac:dyDescent="0.2">
      <c r="A102" s="175" t="s">
        <v>102</v>
      </c>
      <c r="B102" s="171">
        <v>212322380780</v>
      </c>
      <c r="C102" s="171"/>
      <c r="D102" s="171"/>
      <c r="E102" s="171"/>
      <c r="F102" s="171"/>
      <c r="G102" s="171">
        <v>188450000000</v>
      </c>
      <c r="H102" s="171">
        <v>378361327000</v>
      </c>
      <c r="I102" s="171">
        <v>2555298042624</v>
      </c>
      <c r="J102" s="171">
        <v>1310268340931</v>
      </c>
      <c r="K102" s="189">
        <v>1612210933751</v>
      </c>
      <c r="L102" s="54"/>
      <c r="M102" s="54"/>
    </row>
    <row r="103" spans="1:15" s="46" customFormat="1" x14ac:dyDescent="0.2">
      <c r="A103" s="173" t="s">
        <v>104</v>
      </c>
      <c r="B103" s="170">
        <v>14055250</v>
      </c>
      <c r="C103" s="170">
        <v>88755587</v>
      </c>
      <c r="D103" s="170">
        <v>907722344.70000005</v>
      </c>
      <c r="E103" s="170">
        <v>172789332.09999999</v>
      </c>
      <c r="F103" s="170">
        <v>90100000</v>
      </c>
      <c r="G103" s="170">
        <v>453018970</v>
      </c>
      <c r="H103" s="170">
        <v>804664927</v>
      </c>
      <c r="I103" s="170">
        <v>4490222940</v>
      </c>
      <c r="J103" s="170">
        <v>1843774191</v>
      </c>
      <c r="K103" s="174">
        <v>1181792853</v>
      </c>
      <c r="L103" s="55"/>
      <c r="M103" s="55"/>
    </row>
    <row r="104" spans="1:15" x14ac:dyDescent="0.2">
      <c r="A104" s="175" t="s">
        <v>105</v>
      </c>
      <c r="B104" s="171"/>
      <c r="C104" s="171"/>
      <c r="D104" s="171"/>
      <c r="E104" s="171"/>
      <c r="F104" s="171"/>
      <c r="G104" s="171"/>
      <c r="H104" s="171">
        <v>1668566975692</v>
      </c>
      <c r="I104" s="171"/>
      <c r="J104" s="171"/>
      <c r="K104" s="189"/>
    </row>
    <row r="105" spans="1:15" x14ac:dyDescent="0.2">
      <c r="A105" s="175" t="s">
        <v>106</v>
      </c>
      <c r="B105" s="171">
        <v>265124994000</v>
      </c>
      <c r="C105" s="171"/>
      <c r="D105" s="171"/>
      <c r="E105" s="171"/>
      <c r="F105" s="171"/>
      <c r="G105" s="171"/>
      <c r="H105" s="171"/>
      <c r="I105" s="171"/>
      <c r="J105" s="171"/>
      <c r="K105" s="189"/>
    </row>
    <row r="106" spans="1:15" x14ac:dyDescent="0.2">
      <c r="A106" s="175" t="s">
        <v>107</v>
      </c>
      <c r="B106" s="171">
        <v>86507172000</v>
      </c>
      <c r="C106" s="171">
        <v>172173654000</v>
      </c>
      <c r="D106" s="171">
        <v>105291548687</v>
      </c>
      <c r="E106" s="171">
        <v>63097223092</v>
      </c>
      <c r="F106" s="171">
        <v>134096919000</v>
      </c>
      <c r="G106" s="171">
        <v>126496092000</v>
      </c>
      <c r="H106" s="171">
        <v>175666958000</v>
      </c>
      <c r="I106" s="171"/>
      <c r="J106" s="171"/>
      <c r="K106" s="189"/>
    </row>
    <row r="107" spans="1:15" x14ac:dyDescent="0.2">
      <c r="A107" s="175" t="s">
        <v>103</v>
      </c>
      <c r="B107" s="171">
        <v>3011518626</v>
      </c>
      <c r="C107" s="171">
        <v>2183966856.5</v>
      </c>
      <c r="D107" s="171"/>
      <c r="E107" s="171"/>
      <c r="F107" s="171"/>
      <c r="G107" s="171"/>
      <c r="H107" s="171"/>
      <c r="I107" s="171"/>
      <c r="J107" s="171"/>
      <c r="K107" s="189"/>
    </row>
    <row r="108" spans="1:15" x14ac:dyDescent="0.2">
      <c r="A108" s="175" t="s">
        <v>108</v>
      </c>
      <c r="B108" s="171">
        <v>224776741000</v>
      </c>
      <c r="C108" s="171">
        <v>112989922695</v>
      </c>
      <c r="D108" s="171">
        <v>198941166035</v>
      </c>
      <c r="E108" s="171">
        <v>154092989900</v>
      </c>
      <c r="F108" s="171">
        <v>290649142000</v>
      </c>
      <c r="G108" s="171">
        <v>314283000924</v>
      </c>
      <c r="H108" s="171">
        <v>358255581001.72998</v>
      </c>
      <c r="I108" s="171"/>
      <c r="J108" s="171"/>
      <c r="K108" s="189"/>
    </row>
    <row r="109" spans="1:15" x14ac:dyDescent="0.2">
      <c r="A109" s="175" t="s">
        <v>109</v>
      </c>
      <c r="B109" s="171">
        <v>441165849000</v>
      </c>
      <c r="C109" s="171">
        <v>1094485479226</v>
      </c>
      <c r="D109" s="171">
        <v>780694176416</v>
      </c>
      <c r="E109" s="171">
        <v>1127573654730</v>
      </c>
      <c r="F109" s="171">
        <v>354748378047</v>
      </c>
      <c r="G109" s="171">
        <v>337827202000</v>
      </c>
      <c r="H109" s="171">
        <v>482824806398</v>
      </c>
      <c r="I109" s="171"/>
      <c r="J109" s="171"/>
      <c r="K109" s="189"/>
    </row>
    <row r="110" spans="1:15" x14ac:dyDescent="0.2">
      <c r="A110" s="175" t="s">
        <v>110</v>
      </c>
      <c r="B110" s="171"/>
      <c r="C110" s="171"/>
      <c r="D110" s="171"/>
      <c r="E110" s="171">
        <v>98213600330</v>
      </c>
      <c r="F110" s="171">
        <v>92830366619</v>
      </c>
      <c r="G110" s="171">
        <v>37386150567</v>
      </c>
      <c r="H110" s="171">
        <v>115043081811</v>
      </c>
      <c r="I110" s="171"/>
      <c r="J110" s="171"/>
      <c r="K110" s="189"/>
    </row>
    <row r="111" spans="1:15" x14ac:dyDescent="0.2">
      <c r="A111" s="175" t="s">
        <v>145</v>
      </c>
      <c r="B111" s="171"/>
      <c r="C111" s="171"/>
      <c r="D111" s="171"/>
      <c r="E111" s="171"/>
      <c r="F111" s="171"/>
      <c r="G111" s="171">
        <v>15480024000</v>
      </c>
      <c r="H111" s="171">
        <v>2298549000</v>
      </c>
      <c r="I111" s="171"/>
      <c r="J111" s="171"/>
      <c r="K111" s="189"/>
    </row>
    <row r="112" spans="1:15" s="46" customFormat="1" x14ac:dyDescent="0.2">
      <c r="A112" s="173" t="s">
        <v>111</v>
      </c>
      <c r="B112" s="170">
        <v>30100508434.950001</v>
      </c>
      <c r="C112" s="170">
        <v>18548866218</v>
      </c>
      <c r="D112" s="170">
        <v>61147527069</v>
      </c>
      <c r="E112" s="170">
        <v>14316392086</v>
      </c>
      <c r="F112" s="170">
        <v>18375904693</v>
      </c>
      <c r="G112" s="170">
        <v>60000000000</v>
      </c>
      <c r="H112" s="170">
        <v>30000000000</v>
      </c>
      <c r="I112" s="170">
        <v>1449998770226</v>
      </c>
      <c r="J112" s="170">
        <v>885777546251</v>
      </c>
      <c r="K112" s="174">
        <v>2270263303520</v>
      </c>
    </row>
    <row r="113" spans="1:13" x14ac:dyDescent="0.2">
      <c r="A113" s="175" t="s">
        <v>112</v>
      </c>
      <c r="B113" s="171">
        <v>0</v>
      </c>
      <c r="C113" s="171">
        <v>529429402</v>
      </c>
      <c r="D113" s="171">
        <v>0</v>
      </c>
      <c r="E113" s="171">
        <v>0</v>
      </c>
      <c r="F113" s="171">
        <v>0</v>
      </c>
      <c r="G113" s="171">
        <v>0</v>
      </c>
      <c r="H113" s="171">
        <v>0</v>
      </c>
      <c r="I113" s="171">
        <v>0</v>
      </c>
      <c r="J113" s="171">
        <v>676869619264</v>
      </c>
      <c r="K113" s="189">
        <v>1162271321140</v>
      </c>
      <c r="M113" s="54"/>
    </row>
    <row r="114" spans="1:13" x14ac:dyDescent="0.2">
      <c r="A114" s="175" t="s">
        <v>113</v>
      </c>
      <c r="B114" s="171">
        <v>30100508434.950001</v>
      </c>
      <c r="C114" s="171">
        <v>18019436816</v>
      </c>
      <c r="D114" s="171">
        <v>61147527069</v>
      </c>
      <c r="E114" s="171">
        <v>14316392086</v>
      </c>
      <c r="F114" s="171">
        <v>18375904693</v>
      </c>
      <c r="G114" s="171">
        <v>60000000000</v>
      </c>
      <c r="H114" s="171">
        <v>30000000000</v>
      </c>
      <c r="I114" s="171">
        <v>1449998770226</v>
      </c>
      <c r="J114" s="171">
        <v>208907926987</v>
      </c>
      <c r="K114" s="189">
        <v>1107991982380</v>
      </c>
      <c r="M114" s="54"/>
    </row>
    <row r="115" spans="1:13" s="46" customFormat="1" x14ac:dyDescent="0.2">
      <c r="A115" s="173" t="s">
        <v>131</v>
      </c>
      <c r="B115" s="170">
        <v>199982348305.48999</v>
      </c>
      <c r="C115" s="170">
        <v>212640013160.70999</v>
      </c>
      <c r="D115" s="170">
        <v>222596299350.88</v>
      </c>
      <c r="E115" s="170">
        <v>270022845442.96002</v>
      </c>
      <c r="F115" s="170">
        <v>342811027208.21997</v>
      </c>
      <c r="G115" s="170">
        <v>376101706949.22009</v>
      </c>
      <c r="H115" s="170">
        <v>391648247437.59296</v>
      </c>
      <c r="I115" s="170">
        <v>406108207308.39001</v>
      </c>
      <c r="J115" s="170">
        <v>325171526548</v>
      </c>
      <c r="K115" s="174">
        <v>170569115529</v>
      </c>
      <c r="M115" s="55"/>
    </row>
    <row r="116" spans="1:13" x14ac:dyDescent="0.2">
      <c r="A116" s="175" t="s">
        <v>114</v>
      </c>
      <c r="B116" s="171">
        <v>22208980787.389999</v>
      </c>
      <c r="C116" s="171">
        <v>19939845424.470001</v>
      </c>
      <c r="D116" s="171">
        <v>24335205807.75</v>
      </c>
      <c r="E116" s="171">
        <v>42929543677.32</v>
      </c>
      <c r="F116" s="171">
        <v>49391017765.620003</v>
      </c>
      <c r="G116" s="171">
        <v>36524816045.400002</v>
      </c>
      <c r="H116" s="171">
        <v>27078337632.089996</v>
      </c>
      <c r="I116" s="171">
        <v>19545785623.27</v>
      </c>
      <c r="J116" s="171">
        <v>30880050803</v>
      </c>
      <c r="K116" s="189">
        <v>43365017644</v>
      </c>
    </row>
    <row r="117" spans="1:13" x14ac:dyDescent="0.2">
      <c r="A117" s="175" t="s">
        <v>115</v>
      </c>
      <c r="B117" s="171">
        <v>177773367518.10001</v>
      </c>
      <c r="C117" s="171">
        <v>192700167736.23999</v>
      </c>
      <c r="D117" s="171">
        <v>198261093543.13</v>
      </c>
      <c r="E117" s="171">
        <v>227093301765.64001</v>
      </c>
      <c r="F117" s="171">
        <v>293420009442.59998</v>
      </c>
      <c r="G117" s="171">
        <v>311752959672.15002</v>
      </c>
      <c r="H117" s="171">
        <v>336715745936.53998</v>
      </c>
      <c r="I117" s="171">
        <v>373037003107.62</v>
      </c>
      <c r="J117" s="171">
        <v>281555195501</v>
      </c>
      <c r="K117" s="189">
        <v>119339436774</v>
      </c>
    </row>
    <row r="118" spans="1:13" x14ac:dyDescent="0.2">
      <c r="A118" s="175" t="s">
        <v>146</v>
      </c>
      <c r="B118" s="171"/>
      <c r="C118" s="171"/>
      <c r="D118" s="171"/>
      <c r="E118" s="171"/>
      <c r="F118" s="171"/>
      <c r="G118" s="171">
        <v>409328935</v>
      </c>
      <c r="H118" s="171">
        <v>365948531.35000002</v>
      </c>
      <c r="I118" s="171">
        <v>0</v>
      </c>
      <c r="J118" s="171">
        <v>0</v>
      </c>
      <c r="K118" s="189"/>
    </row>
    <row r="119" spans="1:13" x14ac:dyDescent="0.2">
      <c r="A119" s="175" t="s">
        <v>88</v>
      </c>
      <c r="B119" s="171"/>
      <c r="C119" s="171"/>
      <c r="D119" s="171"/>
      <c r="E119" s="171"/>
      <c r="F119" s="171"/>
      <c r="G119" s="171">
        <v>1001968185.9</v>
      </c>
      <c r="H119" s="171">
        <v>886553795.5</v>
      </c>
      <c r="I119" s="171">
        <v>1634199656</v>
      </c>
      <c r="J119" s="171">
        <v>1072252265</v>
      </c>
      <c r="K119" s="189">
        <v>840750185</v>
      </c>
    </row>
    <row r="120" spans="1:13" x14ac:dyDescent="0.2">
      <c r="A120" s="175" t="s">
        <v>79</v>
      </c>
      <c r="B120" s="171"/>
      <c r="C120" s="171"/>
      <c r="D120" s="171"/>
      <c r="E120" s="171"/>
      <c r="F120" s="171"/>
      <c r="G120" s="171">
        <v>6682425438.71</v>
      </c>
      <c r="H120" s="171">
        <v>9140889776.5</v>
      </c>
      <c r="I120" s="171">
        <v>4372552046.8500004</v>
      </c>
      <c r="J120" s="171">
        <v>3011873990</v>
      </c>
      <c r="K120" s="189">
        <v>2560333641</v>
      </c>
    </row>
    <row r="121" spans="1:13" x14ac:dyDescent="0.2">
      <c r="A121" s="175" t="s">
        <v>147</v>
      </c>
      <c r="B121" s="171"/>
      <c r="C121" s="171"/>
      <c r="D121" s="171"/>
      <c r="E121" s="171"/>
      <c r="F121" s="171"/>
      <c r="G121" s="171">
        <v>947861532.87</v>
      </c>
      <c r="H121" s="171">
        <v>427273169.47000003</v>
      </c>
      <c r="I121" s="171">
        <v>434873300.02999997</v>
      </c>
      <c r="J121" s="171">
        <v>581233367</v>
      </c>
      <c r="K121" s="189">
        <v>209844528</v>
      </c>
    </row>
    <row r="122" spans="1:13" x14ac:dyDescent="0.2">
      <c r="A122" s="175" t="s">
        <v>148</v>
      </c>
      <c r="B122" s="171"/>
      <c r="C122" s="171"/>
      <c r="D122" s="171"/>
      <c r="E122" s="171"/>
      <c r="F122" s="171"/>
      <c r="G122" s="171">
        <v>3813511208.1700001</v>
      </c>
      <c r="H122" s="171">
        <v>1249504663.27</v>
      </c>
      <c r="I122" s="171">
        <v>293734898</v>
      </c>
      <c r="J122" s="171">
        <v>367739348</v>
      </c>
      <c r="K122" s="189">
        <v>215354674</v>
      </c>
    </row>
    <row r="123" spans="1:13" x14ac:dyDescent="0.2">
      <c r="A123" s="175" t="s">
        <v>149</v>
      </c>
      <c r="B123" s="171"/>
      <c r="C123" s="171"/>
      <c r="D123" s="171"/>
      <c r="E123" s="171"/>
      <c r="F123" s="171"/>
      <c r="G123" s="171">
        <v>8725622308.6700001</v>
      </c>
      <c r="H123" s="171">
        <v>9249982037.7399998</v>
      </c>
      <c r="I123" s="171">
        <v>3175021099.48</v>
      </c>
      <c r="J123" s="171">
        <v>2452382840</v>
      </c>
      <c r="K123" s="189">
        <v>2315066472</v>
      </c>
    </row>
    <row r="124" spans="1:13" x14ac:dyDescent="0.2">
      <c r="A124" s="175" t="s">
        <v>150</v>
      </c>
      <c r="B124" s="171"/>
      <c r="C124" s="171"/>
      <c r="D124" s="171"/>
      <c r="E124" s="171"/>
      <c r="F124" s="171"/>
      <c r="G124" s="171">
        <v>496267037.31999999</v>
      </c>
      <c r="H124" s="171">
        <v>605839803</v>
      </c>
      <c r="I124" s="171">
        <v>610157701.59000003</v>
      </c>
      <c r="J124" s="171">
        <v>857250244</v>
      </c>
      <c r="K124" s="189">
        <v>267046044</v>
      </c>
    </row>
    <row r="125" spans="1:13" x14ac:dyDescent="0.2">
      <c r="A125" s="175" t="s">
        <v>91</v>
      </c>
      <c r="B125" s="171"/>
      <c r="C125" s="171"/>
      <c r="D125" s="171"/>
      <c r="E125" s="171"/>
      <c r="F125" s="171"/>
      <c r="G125" s="171">
        <v>4398829758</v>
      </c>
      <c r="H125" s="171">
        <v>4148659774</v>
      </c>
      <c r="I125" s="171">
        <v>2001564217</v>
      </c>
      <c r="J125" s="171">
        <v>922112625</v>
      </c>
      <c r="K125" s="189">
        <v>915672427</v>
      </c>
    </row>
    <row r="126" spans="1:13" x14ac:dyDescent="0.2">
      <c r="A126" s="175" t="s">
        <v>93</v>
      </c>
      <c r="B126" s="171"/>
      <c r="C126" s="171"/>
      <c r="D126" s="171"/>
      <c r="E126" s="171"/>
      <c r="F126" s="171"/>
      <c r="G126" s="171">
        <v>969317938</v>
      </c>
      <c r="H126" s="171">
        <v>1575612955.1329997</v>
      </c>
      <c r="I126" s="171">
        <v>599904174.54999995</v>
      </c>
      <c r="J126" s="171">
        <v>3243322220</v>
      </c>
      <c r="K126" s="189">
        <v>44495769</v>
      </c>
    </row>
    <row r="127" spans="1:13" x14ac:dyDescent="0.2">
      <c r="A127" s="175" t="s">
        <v>151</v>
      </c>
      <c r="B127" s="171"/>
      <c r="C127" s="171"/>
      <c r="D127" s="171"/>
      <c r="E127" s="171"/>
      <c r="F127" s="171"/>
      <c r="G127" s="171">
        <v>378798889.02999997</v>
      </c>
      <c r="H127" s="171">
        <v>203899363</v>
      </c>
      <c r="I127" s="171">
        <v>403411484</v>
      </c>
      <c r="J127" s="171">
        <v>228113345</v>
      </c>
      <c r="K127" s="189">
        <v>496097371</v>
      </c>
    </row>
    <row r="128" spans="1:13" x14ac:dyDescent="0.2">
      <c r="A128" s="175" t="s">
        <v>116</v>
      </c>
      <c r="B128" s="171">
        <v>-659043557.77999997</v>
      </c>
      <c r="C128" s="171">
        <v>8842463.0500000007</v>
      </c>
      <c r="D128" s="171">
        <v>4823089.41</v>
      </c>
      <c r="E128" s="171">
        <v>3307727756.8000002</v>
      </c>
      <c r="F128" s="171">
        <v>606677125.78999996</v>
      </c>
      <c r="G128" s="171">
        <v>2038061649.6199999</v>
      </c>
      <c r="H128" s="171">
        <v>1001202664.78</v>
      </c>
      <c r="I128" s="171">
        <v>631838280.62999964</v>
      </c>
      <c r="J128" s="171">
        <v>-5566602401</v>
      </c>
      <c r="K128" s="189">
        <v>6629702954</v>
      </c>
    </row>
    <row r="129" spans="1:15" x14ac:dyDescent="0.2">
      <c r="A129" s="175" t="s">
        <v>117</v>
      </c>
      <c r="B129" s="171">
        <v>303065871934.17999</v>
      </c>
      <c r="C129" s="171">
        <v>392285036751.31</v>
      </c>
      <c r="D129" s="171">
        <v>586106745794.35999</v>
      </c>
      <c r="E129" s="171">
        <v>954581306977.33997</v>
      </c>
      <c r="F129" s="171">
        <v>390457255035</v>
      </c>
      <c r="G129" s="171">
        <v>1176854677400.26</v>
      </c>
      <c r="H129" s="171">
        <v>830408423920</v>
      </c>
      <c r="I129" s="171">
        <v>172000000000</v>
      </c>
      <c r="J129" s="171">
        <v>183494690000</v>
      </c>
      <c r="K129" s="189">
        <v>126618055562</v>
      </c>
    </row>
    <row r="130" spans="1:15" x14ac:dyDescent="0.2">
      <c r="A130" s="175" t="s">
        <v>118</v>
      </c>
      <c r="B130" s="171">
        <v>1932413827</v>
      </c>
      <c r="C130" s="171">
        <v>1481768637.5899999</v>
      </c>
      <c r="D130" s="171">
        <v>878458718</v>
      </c>
      <c r="E130" s="171">
        <v>834808809</v>
      </c>
      <c r="F130" s="171">
        <v>672478000</v>
      </c>
      <c r="G130" s="171">
        <v>912633000</v>
      </c>
      <c r="H130" s="171">
        <v>1598683866.3600001</v>
      </c>
      <c r="I130" s="171">
        <v>61664466070.830002</v>
      </c>
      <c r="J130" s="171">
        <v>51101673241</v>
      </c>
      <c r="K130" s="189">
        <v>139351124723</v>
      </c>
    </row>
    <row r="131" spans="1:15" ht="13.15" customHeight="1" x14ac:dyDescent="0.2">
      <c r="A131" s="175" t="s">
        <v>119</v>
      </c>
      <c r="B131" s="171">
        <v>31605947410.529999</v>
      </c>
      <c r="C131" s="171">
        <v>34116011954.169998</v>
      </c>
      <c r="D131" s="171">
        <v>53857986264.730003</v>
      </c>
      <c r="E131" s="171">
        <v>34478496484.849998</v>
      </c>
      <c r="F131" s="171">
        <v>127151517767.85001</v>
      </c>
      <c r="G131" s="171">
        <v>135356456733.71001</v>
      </c>
      <c r="H131" s="171">
        <v>97804023514.449921</v>
      </c>
      <c r="I131" s="171">
        <v>876118864281.58997</v>
      </c>
      <c r="J131" s="171">
        <v>1422541558392</v>
      </c>
      <c r="K131" s="189">
        <v>1810339666413</v>
      </c>
      <c r="L131" s="54"/>
      <c r="M131" s="54"/>
    </row>
    <row r="132" spans="1:15" x14ac:dyDescent="0.2">
      <c r="A132" s="195"/>
      <c r="B132" s="171"/>
      <c r="C132" s="171"/>
      <c r="D132" s="171"/>
      <c r="E132" s="171"/>
      <c r="F132" s="171"/>
      <c r="G132" s="171"/>
      <c r="H132" s="171"/>
      <c r="I132" s="171"/>
      <c r="J132" s="171"/>
      <c r="K132" s="189"/>
      <c r="L132" s="54"/>
      <c r="M132" s="54"/>
    </row>
    <row r="133" spans="1:15" s="46" customFormat="1" ht="13.5" thickBot="1" x14ac:dyDescent="0.25">
      <c r="A133" s="178" t="s">
        <v>129</v>
      </c>
      <c r="B133" s="196">
        <v>9614233679634.0801</v>
      </c>
      <c r="C133" s="196">
        <v>10350043110758.84</v>
      </c>
      <c r="D133" s="196">
        <v>11242516300088.021</v>
      </c>
      <c r="E133" s="196">
        <v>12334293737029.141</v>
      </c>
      <c r="F133" s="196">
        <v>12493396223401.049</v>
      </c>
      <c r="G133" s="196">
        <v>14331961830550.932</v>
      </c>
      <c r="H133" s="196">
        <v>16735900278071.402</v>
      </c>
      <c r="I133" s="196">
        <v>19330293264737.672</v>
      </c>
      <c r="J133" s="196">
        <v>17546890964852</v>
      </c>
      <c r="K133" s="197">
        <v>21373799339756</v>
      </c>
      <c r="L133" s="55"/>
      <c r="M133" s="55"/>
      <c r="N133" s="58"/>
      <c r="O133" s="52"/>
    </row>
    <row r="134" spans="1:15" x14ac:dyDescent="0.2">
      <c r="A134" s="47" t="s">
        <v>143</v>
      </c>
      <c r="G134" s="45"/>
      <c r="J134" s="49">
        <v>17546890964852</v>
      </c>
    </row>
    <row r="135" spans="1:15" x14ac:dyDescent="0.2">
      <c r="A135" s="47" t="s">
        <v>142</v>
      </c>
      <c r="B135" s="49">
        <v>9614233679634.0801</v>
      </c>
      <c r="C135" s="60">
        <v>10350043110758.842</v>
      </c>
      <c r="D135" s="60">
        <v>11242516300088.018</v>
      </c>
      <c r="E135" s="60">
        <v>12334293737029.141</v>
      </c>
      <c r="F135" s="60">
        <v>12493396223401.047</v>
      </c>
      <c r="G135" s="60">
        <v>14331961830550.932</v>
      </c>
      <c r="H135" s="60">
        <v>16735900278071.398</v>
      </c>
      <c r="I135" s="60">
        <v>19330293264737.676</v>
      </c>
      <c r="J135" s="60">
        <v>17546890964852</v>
      </c>
      <c r="K135" s="60">
        <v>21373799339756</v>
      </c>
    </row>
    <row r="136" spans="1:15" x14ac:dyDescent="0.2">
      <c r="A136" s="1"/>
      <c r="B136" s="59">
        <v>0</v>
      </c>
      <c r="C136" s="59">
        <v>0</v>
      </c>
      <c r="D136" s="59">
        <v>0</v>
      </c>
      <c r="E136" s="59">
        <v>0</v>
      </c>
      <c r="F136" s="59">
        <v>0</v>
      </c>
      <c r="G136" s="59">
        <v>0</v>
      </c>
      <c r="H136" s="59">
        <v>0</v>
      </c>
      <c r="I136" s="59">
        <v>0</v>
      </c>
      <c r="J136" s="59">
        <v>0</v>
      </c>
      <c r="K136" s="59">
        <v>0</v>
      </c>
    </row>
    <row r="137" spans="1:15" x14ac:dyDescent="0.2">
      <c r="G137" s="45"/>
      <c r="J137" s="51"/>
    </row>
    <row r="138" spans="1:15" x14ac:dyDescent="0.2">
      <c r="G138" s="45"/>
    </row>
    <row r="139" spans="1:15" x14ac:dyDescent="0.2">
      <c r="G139" s="45"/>
    </row>
    <row r="140" spans="1:15" x14ac:dyDescent="0.2">
      <c r="G140" s="45"/>
    </row>
    <row r="141" spans="1:15" x14ac:dyDescent="0.2">
      <c r="G141" s="45"/>
    </row>
    <row r="142" spans="1:15" x14ac:dyDescent="0.2">
      <c r="G142" s="45"/>
    </row>
    <row r="143" spans="1:15" x14ac:dyDescent="0.2">
      <c r="G143" s="45"/>
    </row>
    <row r="144" spans="1:15" x14ac:dyDescent="0.2">
      <c r="G144" s="45"/>
    </row>
    <row r="145" spans="7:7" x14ac:dyDescent="0.2">
      <c r="G145" s="45"/>
    </row>
    <row r="146" spans="7:7" x14ac:dyDescent="0.2">
      <c r="G146" s="45"/>
    </row>
    <row r="147" spans="7:7" x14ac:dyDescent="0.2">
      <c r="G147" s="45"/>
    </row>
    <row r="148" spans="7:7" x14ac:dyDescent="0.2">
      <c r="G148" s="45"/>
    </row>
    <row r="149" spans="7:7" x14ac:dyDescent="0.2">
      <c r="G149" s="45"/>
    </row>
    <row r="150" spans="7:7" x14ac:dyDescent="0.2">
      <c r="G150" s="45"/>
    </row>
    <row r="151" spans="7:7" x14ac:dyDescent="0.2">
      <c r="G151" s="45"/>
    </row>
    <row r="152" spans="7:7" x14ac:dyDescent="0.2">
      <c r="G152" s="45"/>
    </row>
    <row r="153" spans="7:7" x14ac:dyDescent="0.2">
      <c r="G153" s="45"/>
    </row>
    <row r="154" spans="7:7" x14ac:dyDescent="0.2">
      <c r="G154" s="45"/>
    </row>
    <row r="155" spans="7:7" x14ac:dyDescent="0.2">
      <c r="G155" s="45"/>
    </row>
    <row r="156" spans="7:7" x14ac:dyDescent="0.2">
      <c r="G156" s="45"/>
    </row>
    <row r="157" spans="7:7" x14ac:dyDescent="0.2">
      <c r="G157" s="45"/>
    </row>
    <row r="158" spans="7:7" x14ac:dyDescent="0.2">
      <c r="G158" s="45"/>
    </row>
    <row r="159" spans="7:7" x14ac:dyDescent="0.2">
      <c r="G159" s="45"/>
    </row>
    <row r="160" spans="7:7" x14ac:dyDescent="0.2">
      <c r="G160" s="45"/>
    </row>
    <row r="161" spans="7:7" x14ac:dyDescent="0.2">
      <c r="G161" s="45"/>
    </row>
    <row r="162" spans="7:7" x14ac:dyDescent="0.2">
      <c r="G162" s="45"/>
    </row>
    <row r="163" spans="7:7" x14ac:dyDescent="0.2">
      <c r="G163" s="45"/>
    </row>
    <row r="164" spans="7:7" x14ac:dyDescent="0.2">
      <c r="G164" s="45"/>
    </row>
    <row r="165" spans="7:7" x14ac:dyDescent="0.2">
      <c r="G165" s="45"/>
    </row>
    <row r="166" spans="7:7" x14ac:dyDescent="0.2">
      <c r="G166" s="45"/>
    </row>
    <row r="167" spans="7:7" x14ac:dyDescent="0.2">
      <c r="G167" s="45"/>
    </row>
    <row r="168" spans="7:7" x14ac:dyDescent="0.2">
      <c r="G168" s="45"/>
    </row>
    <row r="169" spans="7:7" x14ac:dyDescent="0.2">
      <c r="G169" s="45"/>
    </row>
    <row r="170" spans="7:7" x14ac:dyDescent="0.2">
      <c r="G170" s="45"/>
    </row>
    <row r="171" spans="7:7" x14ac:dyDescent="0.2">
      <c r="G171" s="45"/>
    </row>
    <row r="172" spans="7:7" x14ac:dyDescent="0.2">
      <c r="G172" s="45"/>
    </row>
    <row r="173" spans="7:7" x14ac:dyDescent="0.2">
      <c r="G173" s="45"/>
    </row>
    <row r="174" spans="7:7" x14ac:dyDescent="0.2">
      <c r="G174" s="45"/>
    </row>
    <row r="175" spans="7:7" x14ac:dyDescent="0.2">
      <c r="G175" s="45"/>
    </row>
    <row r="176" spans="7:7" x14ac:dyDescent="0.2">
      <c r="G176" s="45"/>
    </row>
    <row r="177" spans="7:7" x14ac:dyDescent="0.2">
      <c r="G177" s="45"/>
    </row>
    <row r="178" spans="7:7" x14ac:dyDescent="0.2">
      <c r="G178" s="45"/>
    </row>
    <row r="179" spans="7:7" x14ac:dyDescent="0.2">
      <c r="G179" s="45"/>
    </row>
    <row r="180" spans="7:7" x14ac:dyDescent="0.2">
      <c r="G180" s="45"/>
    </row>
    <row r="181" spans="7:7" x14ac:dyDescent="0.2">
      <c r="G181" s="45"/>
    </row>
    <row r="182" spans="7:7" x14ac:dyDescent="0.2">
      <c r="G182" s="45"/>
    </row>
    <row r="183" spans="7:7" x14ac:dyDescent="0.2">
      <c r="G183" s="45"/>
    </row>
    <row r="184" spans="7:7" x14ac:dyDescent="0.2">
      <c r="G184" s="45"/>
    </row>
    <row r="185" spans="7:7" x14ac:dyDescent="0.2">
      <c r="G185" s="45"/>
    </row>
    <row r="186" spans="7:7" x14ac:dyDescent="0.2">
      <c r="G186" s="45"/>
    </row>
    <row r="187" spans="7:7" x14ac:dyDescent="0.2">
      <c r="G187" s="45"/>
    </row>
    <row r="188" spans="7:7" x14ac:dyDescent="0.2">
      <c r="G188" s="45"/>
    </row>
    <row r="189" spans="7:7" x14ac:dyDescent="0.2">
      <c r="G189" s="45"/>
    </row>
    <row r="190" spans="7:7" x14ac:dyDescent="0.2">
      <c r="G190" s="45"/>
    </row>
    <row r="191" spans="7:7" x14ac:dyDescent="0.2">
      <c r="G191" s="45"/>
    </row>
    <row r="192" spans="7:7" x14ac:dyDescent="0.2">
      <c r="G192" s="45"/>
    </row>
    <row r="193" spans="7:7" x14ac:dyDescent="0.2">
      <c r="G193" s="45"/>
    </row>
    <row r="194" spans="7:7" x14ac:dyDescent="0.2">
      <c r="G194" s="45"/>
    </row>
    <row r="195" spans="7:7" x14ac:dyDescent="0.2">
      <c r="G195" s="45"/>
    </row>
    <row r="196" spans="7:7" x14ac:dyDescent="0.2">
      <c r="G196" s="45"/>
    </row>
    <row r="197" spans="7:7" x14ac:dyDescent="0.2">
      <c r="G197" s="45"/>
    </row>
    <row r="198" spans="7:7" x14ac:dyDescent="0.2">
      <c r="G198" s="45"/>
    </row>
    <row r="199" spans="7:7" x14ac:dyDescent="0.2">
      <c r="G199" s="45"/>
    </row>
    <row r="200" spans="7:7" x14ac:dyDescent="0.2">
      <c r="G200" s="45"/>
    </row>
    <row r="201" spans="7:7" x14ac:dyDescent="0.2">
      <c r="G201" s="45"/>
    </row>
    <row r="202" spans="7:7" x14ac:dyDescent="0.2">
      <c r="G202" s="45"/>
    </row>
    <row r="203" spans="7:7" x14ac:dyDescent="0.2">
      <c r="G203" s="45"/>
    </row>
    <row r="204" spans="7:7" x14ac:dyDescent="0.2">
      <c r="G204" s="45"/>
    </row>
    <row r="205" spans="7:7" x14ac:dyDescent="0.2">
      <c r="G205" s="45"/>
    </row>
    <row r="206" spans="7:7" x14ac:dyDescent="0.2">
      <c r="G206" s="45"/>
    </row>
    <row r="207" spans="7:7" x14ac:dyDescent="0.2">
      <c r="G207" s="45"/>
    </row>
    <row r="208" spans="7:7" x14ac:dyDescent="0.2">
      <c r="G208" s="45"/>
    </row>
    <row r="209" spans="7:7" x14ac:dyDescent="0.2">
      <c r="G209" s="45"/>
    </row>
    <row r="210" spans="7:7" x14ac:dyDescent="0.2">
      <c r="G210" s="45"/>
    </row>
    <row r="211" spans="7:7" x14ac:dyDescent="0.2">
      <c r="G211" s="45"/>
    </row>
    <row r="212" spans="7:7" x14ac:dyDescent="0.2">
      <c r="G212" s="45"/>
    </row>
    <row r="213" spans="7:7" x14ac:dyDescent="0.2">
      <c r="G213" s="45"/>
    </row>
    <row r="214" spans="7:7" x14ac:dyDescent="0.2">
      <c r="G214" s="45"/>
    </row>
    <row r="215" spans="7:7" x14ac:dyDescent="0.2">
      <c r="G215" s="45"/>
    </row>
    <row r="216" spans="7:7" x14ac:dyDescent="0.2">
      <c r="G216" s="45"/>
    </row>
    <row r="217" spans="7:7" x14ac:dyDescent="0.2">
      <c r="G217" s="45"/>
    </row>
    <row r="218" spans="7:7" x14ac:dyDescent="0.2">
      <c r="G218" s="45"/>
    </row>
    <row r="219" spans="7:7" x14ac:dyDescent="0.2">
      <c r="G219" s="45"/>
    </row>
    <row r="220" spans="7:7" x14ac:dyDescent="0.2">
      <c r="G220" s="45"/>
    </row>
  </sheetData>
  <pageMargins left="0.9055118110236221" right="0.70866141732283472" top="0.74803149606299213" bottom="0.74803149606299213" header="0.31496062992125984" footer="0.31496062992125984"/>
  <pageSetup paperSize="5" scale="65" orientation="landscape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0AA04-B65B-40F6-98C3-705C313C0E3F}">
  <sheetPr>
    <tabColor theme="8" tint="0.39997558519241921"/>
  </sheetPr>
  <dimension ref="A1:E48"/>
  <sheetViews>
    <sheetView zoomScaleNormal="100" workbookViewId="0">
      <pane xSplit="1" ySplit="5" topLeftCell="B6" activePane="bottomRight" state="frozen"/>
      <selection activeCell="M123" sqref="M123"/>
      <selection pane="topRight" activeCell="M123" sqref="M123"/>
      <selection pane="bottomLeft" activeCell="M123" sqref="M123"/>
      <selection pane="bottomRight" activeCell="A2" sqref="A2"/>
    </sheetView>
  </sheetViews>
  <sheetFormatPr baseColWidth="10" defaultRowHeight="12.75" x14ac:dyDescent="0.2"/>
  <cols>
    <col min="1" max="1" width="62.7109375" customWidth="1"/>
    <col min="2" max="3" width="12.7109375" style="51" customWidth="1"/>
    <col min="5" max="5" width="18.5703125" customWidth="1"/>
  </cols>
  <sheetData>
    <row r="1" spans="1:5" x14ac:dyDescent="0.2">
      <c r="A1" s="42" t="s">
        <v>3</v>
      </c>
    </row>
    <row r="2" spans="1:5" x14ac:dyDescent="0.2">
      <c r="A2" s="42" t="s">
        <v>249</v>
      </c>
    </row>
    <row r="3" spans="1:5" x14ac:dyDescent="0.2">
      <c r="A3" s="42"/>
    </row>
    <row r="4" spans="1:5" ht="13.5" thickBot="1" x14ac:dyDescent="0.25">
      <c r="A4" s="4" t="s">
        <v>202</v>
      </c>
    </row>
    <row r="5" spans="1:5" s="106" customFormat="1" ht="44.25" customHeight="1" thickBot="1" x14ac:dyDescent="0.25">
      <c r="A5" s="202" t="s">
        <v>245</v>
      </c>
      <c r="B5" s="203">
        <v>2022</v>
      </c>
      <c r="C5" s="204">
        <v>2023</v>
      </c>
      <c r="D5" s="204">
        <v>2024</v>
      </c>
      <c r="E5" s="205" t="s">
        <v>248</v>
      </c>
    </row>
    <row r="6" spans="1:5" s="46" customFormat="1" ht="12.75" customHeight="1" x14ac:dyDescent="0.2">
      <c r="A6" s="179" t="s">
        <v>171</v>
      </c>
      <c r="B6" s="50">
        <v>16652734222600</v>
      </c>
      <c r="C6" s="180">
        <v>20119818740173</v>
      </c>
      <c r="D6" s="180">
        <v>22050799285319</v>
      </c>
      <c r="E6" s="180">
        <v>24139731012000</v>
      </c>
    </row>
    <row r="7" spans="1:5" s="46" customFormat="1" ht="12.75" customHeight="1" x14ac:dyDescent="0.2">
      <c r="A7" s="173" t="s">
        <v>172</v>
      </c>
      <c r="B7" s="170">
        <v>11458176887315</v>
      </c>
      <c r="C7" s="174">
        <v>13372879298943</v>
      </c>
      <c r="D7" s="174">
        <v>14031891662421</v>
      </c>
      <c r="E7" s="174">
        <v>15386125551000</v>
      </c>
    </row>
    <row r="8" spans="1:5" s="46" customFormat="1" ht="12.75" customHeight="1" x14ac:dyDescent="0.2">
      <c r="A8" s="173" t="s">
        <v>173</v>
      </c>
      <c r="B8" s="170">
        <v>4438468150863</v>
      </c>
      <c r="C8" s="174">
        <v>5171635325760</v>
      </c>
      <c r="D8" s="174">
        <v>5666359035362</v>
      </c>
      <c r="E8" s="174">
        <v>6083413259000</v>
      </c>
    </row>
    <row r="9" spans="1:5" ht="12.75" customHeight="1" x14ac:dyDescent="0.2">
      <c r="A9" s="175" t="s">
        <v>159</v>
      </c>
      <c r="B9" s="171">
        <v>833781300585</v>
      </c>
      <c r="C9" s="176">
        <v>1038754019530</v>
      </c>
      <c r="D9" s="176">
        <v>1214265638012</v>
      </c>
      <c r="E9" s="176">
        <v>1267477695000</v>
      </c>
    </row>
    <row r="10" spans="1:5" ht="12.75" customHeight="1" x14ac:dyDescent="0.2">
      <c r="A10" s="175" t="s">
        <v>174</v>
      </c>
      <c r="B10" s="171">
        <v>3604686850278</v>
      </c>
      <c r="C10" s="176">
        <v>4132881306230</v>
      </c>
      <c r="D10" s="176">
        <v>4452093397350</v>
      </c>
      <c r="E10" s="176">
        <v>4815935564000</v>
      </c>
    </row>
    <row r="11" spans="1:5" s="46" customFormat="1" ht="12.75" customHeight="1" x14ac:dyDescent="0.2">
      <c r="A11" s="173" t="s">
        <v>175</v>
      </c>
      <c r="B11" s="170">
        <v>7019708736452</v>
      </c>
      <c r="C11" s="174">
        <v>8201243973183</v>
      </c>
      <c r="D11" s="174">
        <v>8365532627059</v>
      </c>
      <c r="E11" s="174">
        <v>9302712292000</v>
      </c>
    </row>
    <row r="12" spans="1:5" ht="12.75" customHeight="1" x14ac:dyDescent="0.2">
      <c r="A12" s="175" t="s">
        <v>176</v>
      </c>
      <c r="B12" s="171">
        <v>396089969000</v>
      </c>
      <c r="C12" s="176">
        <v>418698175000</v>
      </c>
      <c r="D12" s="176">
        <v>425535488608</v>
      </c>
      <c r="E12" s="176">
        <v>461992724000</v>
      </c>
    </row>
    <row r="13" spans="1:5" ht="12.75" customHeight="1" x14ac:dyDescent="0.2">
      <c r="A13" s="175" t="s">
        <v>177</v>
      </c>
      <c r="B13" s="171">
        <v>239030972000</v>
      </c>
      <c r="C13" s="176">
        <v>257045641000</v>
      </c>
      <c r="D13" s="176">
        <v>251736173000</v>
      </c>
      <c r="E13" s="176">
        <v>290819197000</v>
      </c>
    </row>
    <row r="14" spans="1:5" ht="12.75" customHeight="1" x14ac:dyDescent="0.2">
      <c r="A14" s="175" t="s">
        <v>168</v>
      </c>
      <c r="B14" s="171">
        <v>410416089000</v>
      </c>
      <c r="C14" s="176">
        <v>438013865406</v>
      </c>
      <c r="D14" s="176">
        <v>442740274000</v>
      </c>
      <c r="E14" s="176">
        <v>483582940000</v>
      </c>
    </row>
    <row r="15" spans="1:5" ht="12.75" customHeight="1" x14ac:dyDescent="0.2">
      <c r="A15" s="175" t="s">
        <v>160</v>
      </c>
      <c r="B15" s="171">
        <v>5628592767152</v>
      </c>
      <c r="C15" s="176">
        <v>6673826153047</v>
      </c>
      <c r="D15" s="176">
        <v>6873688130162</v>
      </c>
      <c r="E15" s="176">
        <v>7569714120000</v>
      </c>
    </row>
    <row r="16" spans="1:5" ht="12.75" customHeight="1" x14ac:dyDescent="0.2">
      <c r="A16" s="177" t="s">
        <v>157</v>
      </c>
      <c r="B16" s="171">
        <v>2551436000</v>
      </c>
      <c r="C16" s="176">
        <v>8709699000</v>
      </c>
      <c r="D16" s="176">
        <v>4783486000</v>
      </c>
      <c r="E16" s="176">
        <v>7796675000</v>
      </c>
    </row>
    <row r="17" spans="1:5" ht="12.75" customHeight="1" x14ac:dyDescent="0.2">
      <c r="A17" s="175" t="s">
        <v>169</v>
      </c>
      <c r="B17" s="171">
        <v>143680088000</v>
      </c>
      <c r="C17" s="176">
        <v>135130431540</v>
      </c>
      <c r="D17" s="176">
        <v>102718000440</v>
      </c>
      <c r="E17" s="176">
        <v>117215011000</v>
      </c>
    </row>
    <row r="18" spans="1:5" ht="12.75" customHeight="1" x14ac:dyDescent="0.2">
      <c r="A18" s="175" t="s">
        <v>170</v>
      </c>
      <c r="B18" s="171">
        <v>16528038000</v>
      </c>
      <c r="C18" s="176">
        <v>30145996813</v>
      </c>
      <c r="D18" s="176">
        <v>17627891000</v>
      </c>
      <c r="E18" s="176">
        <v>17806794000</v>
      </c>
    </row>
    <row r="19" spans="1:5" s="53" customFormat="1" ht="12.75" customHeight="1" x14ac:dyDescent="0.2">
      <c r="A19" s="175" t="s">
        <v>178</v>
      </c>
      <c r="B19" s="172">
        <v>182819377300</v>
      </c>
      <c r="C19" s="176">
        <v>239674011377</v>
      </c>
      <c r="D19" s="176">
        <v>236898399032</v>
      </c>
      <c r="E19" s="176">
        <v>277884333000</v>
      </c>
    </row>
    <row r="20" spans="1:5" s="46" customFormat="1" ht="12.75" customHeight="1" x14ac:dyDescent="0.2">
      <c r="A20" s="173" t="s">
        <v>179</v>
      </c>
      <c r="B20" s="170">
        <v>5194557335285</v>
      </c>
      <c r="C20" s="174">
        <v>6746939441230</v>
      </c>
      <c r="D20" s="174">
        <v>8018907622898</v>
      </c>
      <c r="E20" s="174">
        <v>8753605461000</v>
      </c>
    </row>
    <row r="21" spans="1:5" ht="12.75" customHeight="1" x14ac:dyDescent="0.2">
      <c r="A21" s="175" t="s">
        <v>180</v>
      </c>
      <c r="B21" s="171">
        <v>258123020912</v>
      </c>
      <c r="C21" s="176">
        <v>323890034354</v>
      </c>
      <c r="D21" s="176">
        <v>377083022623</v>
      </c>
      <c r="E21" s="176">
        <v>404287136000</v>
      </c>
    </row>
    <row r="22" spans="1:5" ht="12.75" customHeight="1" x14ac:dyDescent="0.2">
      <c r="A22" s="177" t="s">
        <v>158</v>
      </c>
      <c r="B22" s="171">
        <v>484615603021</v>
      </c>
      <c r="C22" s="176">
        <v>578173599805</v>
      </c>
      <c r="D22" s="176">
        <v>830276655283</v>
      </c>
      <c r="E22" s="176">
        <v>654965788000</v>
      </c>
    </row>
    <row r="23" spans="1:5" s="46" customFormat="1" ht="12.75" customHeight="1" x14ac:dyDescent="0.2">
      <c r="A23" s="173" t="s">
        <v>181</v>
      </c>
      <c r="B23" s="170">
        <v>463336697858</v>
      </c>
      <c r="C23" s="174">
        <v>706863068980</v>
      </c>
      <c r="D23" s="174">
        <v>828826400851</v>
      </c>
      <c r="E23" s="174">
        <v>993626543000</v>
      </c>
    </row>
    <row r="24" spans="1:5" ht="12.75" customHeight="1" x14ac:dyDescent="0.2">
      <c r="A24" s="175" t="s">
        <v>182</v>
      </c>
      <c r="B24" s="171">
        <v>233438645180</v>
      </c>
      <c r="C24" s="176">
        <v>390189625488</v>
      </c>
      <c r="D24" s="176">
        <v>540223208006</v>
      </c>
      <c r="E24" s="176">
        <v>586279592000</v>
      </c>
    </row>
    <row r="25" spans="1:5" s="53" customFormat="1" ht="12.75" customHeight="1" x14ac:dyDescent="0.2">
      <c r="A25" s="175" t="s">
        <v>161</v>
      </c>
      <c r="B25" s="172">
        <v>229898052678</v>
      </c>
      <c r="C25" s="176">
        <v>316673443492</v>
      </c>
      <c r="D25" s="176">
        <v>288603192845</v>
      </c>
      <c r="E25" s="176">
        <v>407346951000</v>
      </c>
    </row>
    <row r="26" spans="1:5" ht="12.75" customHeight="1" x14ac:dyDescent="0.2">
      <c r="A26" s="175" t="s">
        <v>183</v>
      </c>
      <c r="B26" s="171">
        <v>29973774491</v>
      </c>
      <c r="C26" s="176">
        <v>28696161518</v>
      </c>
      <c r="D26" s="176">
        <v>22533178933</v>
      </c>
      <c r="E26" s="176">
        <v>31086909000</v>
      </c>
    </row>
    <row r="27" spans="1:5" s="46" customFormat="1" ht="12.75" customHeight="1" x14ac:dyDescent="0.2">
      <c r="A27" s="173" t="s">
        <v>184</v>
      </c>
      <c r="B27" s="170">
        <v>3958508239003</v>
      </c>
      <c r="C27" s="174">
        <v>5109316576573</v>
      </c>
      <c r="D27" s="174">
        <v>5960188365208</v>
      </c>
      <c r="E27" s="174">
        <v>6669639085000</v>
      </c>
    </row>
    <row r="28" spans="1:5" ht="12.75" customHeight="1" x14ac:dyDescent="0.2">
      <c r="A28" s="175" t="s">
        <v>185</v>
      </c>
      <c r="B28" s="171">
        <v>3725058766209</v>
      </c>
      <c r="C28" s="176">
        <v>4006280396244</v>
      </c>
      <c r="D28" s="176">
        <v>5404701425229</v>
      </c>
      <c r="E28" s="176">
        <v>5976947800000</v>
      </c>
    </row>
    <row r="29" spans="1:5" ht="12.75" customHeight="1" x14ac:dyDescent="0.2">
      <c r="A29" s="175" t="s">
        <v>186</v>
      </c>
      <c r="B29" s="171">
        <v>196515442693</v>
      </c>
      <c r="C29" s="176">
        <v>422367973672</v>
      </c>
      <c r="D29" s="176">
        <v>368222663288</v>
      </c>
      <c r="E29" s="176">
        <v>417392680000</v>
      </c>
    </row>
    <row r="30" spans="1:5" s="53" customFormat="1" ht="12.75" customHeight="1" x14ac:dyDescent="0.2">
      <c r="A30" s="175" t="s">
        <v>187</v>
      </c>
      <c r="B30" s="172">
        <v>36934030101</v>
      </c>
      <c r="C30" s="176">
        <v>680668206657</v>
      </c>
      <c r="D30" s="176">
        <v>187264276691</v>
      </c>
      <c r="E30" s="176">
        <v>275298605000</v>
      </c>
    </row>
    <row r="31" spans="1:5" s="46" customFormat="1" ht="12.75" customHeight="1" x14ac:dyDescent="0.2">
      <c r="A31" s="173" t="s">
        <v>188</v>
      </c>
      <c r="B31" s="170">
        <v>7163651666636</v>
      </c>
      <c r="C31" s="174">
        <v>6318245551057</v>
      </c>
      <c r="D31" s="174">
        <v>8247378716675</v>
      </c>
      <c r="E31" s="174">
        <v>10462386005000</v>
      </c>
    </row>
    <row r="32" spans="1:5" ht="12.75" customHeight="1" x14ac:dyDescent="0.2">
      <c r="A32" s="175" t="s">
        <v>189</v>
      </c>
      <c r="B32" s="171">
        <v>2604560135</v>
      </c>
      <c r="C32" s="176">
        <v>382430818</v>
      </c>
      <c r="D32" s="176">
        <v>829503668</v>
      </c>
      <c r="E32" s="176">
        <v>0</v>
      </c>
    </row>
    <row r="33" spans="1:5" s="53" customFormat="1" ht="12.75" customHeight="1" x14ac:dyDescent="0.2">
      <c r="A33" s="175" t="s">
        <v>190</v>
      </c>
      <c r="B33" s="172">
        <v>348844435740</v>
      </c>
      <c r="C33" s="176">
        <v>21729540892</v>
      </c>
      <c r="D33" s="176">
        <v>99300000000</v>
      </c>
      <c r="E33" s="176">
        <v>100332421000</v>
      </c>
    </row>
    <row r="34" spans="1:5" s="53" customFormat="1" ht="12.75" customHeight="1" x14ac:dyDescent="0.2">
      <c r="A34" s="175" t="s">
        <v>191</v>
      </c>
      <c r="B34" s="172">
        <v>1212359990773</v>
      </c>
      <c r="C34" s="176">
        <v>1314629296652</v>
      </c>
      <c r="D34" s="176">
        <v>1512291335030</v>
      </c>
      <c r="E34" s="176">
        <v>1465166000000</v>
      </c>
    </row>
    <row r="35" spans="1:5" ht="12.75" customHeight="1" x14ac:dyDescent="0.2">
      <c r="A35" s="175" t="s">
        <v>192</v>
      </c>
      <c r="B35" s="171">
        <v>616416047021</v>
      </c>
      <c r="C35" s="176">
        <v>891171729467</v>
      </c>
      <c r="D35" s="176">
        <v>752648395707</v>
      </c>
      <c r="E35" s="176">
        <v>628365526000</v>
      </c>
    </row>
    <row r="36" spans="1:5" ht="12.75" customHeight="1" x14ac:dyDescent="0.2">
      <c r="A36" s="175" t="s">
        <v>193</v>
      </c>
      <c r="B36" s="171">
        <v>360531900000</v>
      </c>
      <c r="C36" s="176">
        <v>0</v>
      </c>
      <c r="D36" s="176">
        <v>214450000000</v>
      </c>
      <c r="E36" s="176">
        <v>0</v>
      </c>
    </row>
    <row r="37" spans="1:5" ht="12.75" customHeight="1" x14ac:dyDescent="0.2">
      <c r="A37" s="175" t="s">
        <v>194</v>
      </c>
      <c r="B37" s="171">
        <v>1629333000000</v>
      </c>
      <c r="C37" s="176">
        <v>1130000000000</v>
      </c>
      <c r="D37" s="176">
        <v>1900000000000</v>
      </c>
      <c r="E37" s="176">
        <v>5225105675000</v>
      </c>
    </row>
    <row r="38" spans="1:5" ht="12.75" customHeight="1" x14ac:dyDescent="0.2">
      <c r="A38" s="175" t="s">
        <v>195</v>
      </c>
      <c r="B38" s="171">
        <v>59599528334</v>
      </c>
      <c r="C38" s="176">
        <v>313680808947</v>
      </c>
      <c r="D38" s="176">
        <v>17558771049</v>
      </c>
      <c r="E38" s="176">
        <v>4395356000</v>
      </c>
    </row>
    <row r="39" spans="1:5" ht="12.75" customHeight="1" x14ac:dyDescent="0.2">
      <c r="A39" s="175" t="s">
        <v>197</v>
      </c>
      <c r="B39" s="171">
        <v>2647596395126</v>
      </c>
      <c r="C39" s="176">
        <v>1913119713868</v>
      </c>
      <c r="D39" s="176">
        <v>3227670864338</v>
      </c>
      <c r="E39" s="176">
        <v>2531610442000</v>
      </c>
    </row>
    <row r="40" spans="1:5" ht="12.75" customHeight="1" x14ac:dyDescent="0.2">
      <c r="A40" s="175" t="s">
        <v>198</v>
      </c>
      <c r="B40" s="171">
        <v>23568897523</v>
      </c>
      <c r="C40" s="176">
        <v>-38633078398</v>
      </c>
      <c r="D40" s="176">
        <v>19529827801</v>
      </c>
      <c r="E40" s="176">
        <v>0</v>
      </c>
    </row>
    <row r="41" spans="1:5" ht="12.75" customHeight="1" x14ac:dyDescent="0.2">
      <c r="A41" s="175" t="s">
        <v>199</v>
      </c>
      <c r="B41" s="171">
        <v>200157660871</v>
      </c>
      <c r="C41" s="176">
        <v>243795676378</v>
      </c>
      <c r="D41" s="176">
        <v>388997408236</v>
      </c>
      <c r="E41" s="176">
        <v>427410585000</v>
      </c>
    </row>
    <row r="42" spans="1:5" ht="12.75" customHeight="1" thickBot="1" x14ac:dyDescent="0.25">
      <c r="A42" s="181" t="s">
        <v>200</v>
      </c>
      <c r="B42" s="182">
        <v>62639251113</v>
      </c>
      <c r="C42" s="183">
        <v>96419432433</v>
      </c>
      <c r="D42" s="183">
        <v>114102610846</v>
      </c>
      <c r="E42" s="183">
        <v>80000000000</v>
      </c>
    </row>
    <row r="43" spans="1:5" s="53" customFormat="1" ht="12.75" customHeight="1" thickBot="1" x14ac:dyDescent="0.25">
      <c r="A43" s="184" t="s">
        <v>129</v>
      </c>
      <c r="B43" s="185">
        <v>23816385889236</v>
      </c>
      <c r="C43" s="186">
        <v>26438064291230</v>
      </c>
      <c r="D43" s="186">
        <v>30298178001994</v>
      </c>
      <c r="E43" s="186">
        <v>34602117017000</v>
      </c>
    </row>
    <row r="45" spans="1:5" ht="24" customHeight="1" x14ac:dyDescent="0.2">
      <c r="A45" s="216" t="s">
        <v>203</v>
      </c>
      <c r="B45" s="216"/>
    </row>
    <row r="46" spans="1:5" x14ac:dyDescent="0.2">
      <c r="A46" s="88" t="s">
        <v>143</v>
      </c>
    </row>
    <row r="47" spans="1:5" x14ac:dyDescent="0.2">
      <c r="A47" s="88" t="s">
        <v>142</v>
      </c>
    </row>
    <row r="48" spans="1:5" x14ac:dyDescent="0.2">
      <c r="A48" s="1"/>
    </row>
  </sheetData>
  <mergeCells count="1">
    <mergeCell ref="A45:B45"/>
  </mergeCells>
  <pageMargins left="0.9055118110236221" right="0.70866141732283472" top="0.74803149606299213" bottom="0.74803149606299213" header="0.31496062992125984" footer="0.31496062992125984"/>
  <pageSetup paperSize="5" scale="65" orientation="landscape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F1C9C-66A7-4D80-A8B2-B0A6160FDFF8}">
  <sheetPr>
    <tabColor rgb="FF92D050"/>
  </sheetPr>
  <dimension ref="A1:L733"/>
  <sheetViews>
    <sheetView workbookViewId="0">
      <selection activeCell="A6" sqref="A6"/>
    </sheetView>
  </sheetViews>
  <sheetFormatPr baseColWidth="10" defaultRowHeight="12.75" x14ac:dyDescent="0.2"/>
  <cols>
    <col min="1" max="1" width="39.28515625" customWidth="1"/>
    <col min="2" max="2" width="12.7109375" customWidth="1"/>
    <col min="3" max="4" width="12.7109375" style="45" customWidth="1"/>
    <col min="5" max="7" width="12.7109375" customWidth="1"/>
    <col min="8" max="8" width="12.7109375" style="45" customWidth="1"/>
    <col min="9" max="10" width="12.7109375" customWidth="1"/>
    <col min="11" max="11" width="12.7109375" style="45" customWidth="1"/>
  </cols>
  <sheetData>
    <row r="1" spans="1:11" s="62" customFormat="1" ht="7.5" customHeight="1" x14ac:dyDescent="0.2">
      <c r="C1" s="63"/>
      <c r="D1" s="63"/>
      <c r="H1" s="63"/>
      <c r="K1" s="63"/>
    </row>
    <row r="2" spans="1:11" s="66" customFormat="1" ht="12" customHeight="1" x14ac:dyDescent="0.2">
      <c r="A2" s="64" t="s">
        <v>213</v>
      </c>
      <c r="B2" s="30"/>
      <c r="C2" s="3"/>
      <c r="D2" s="3"/>
      <c r="E2" s="30"/>
      <c r="F2" s="30"/>
      <c r="H2" s="65"/>
      <c r="K2" s="65"/>
    </row>
    <row r="3" spans="1:11" s="66" customFormat="1" ht="13.5" customHeight="1" x14ac:dyDescent="0.2">
      <c r="A3" s="64" t="s">
        <v>246</v>
      </c>
      <c r="B3" s="30"/>
      <c r="C3" s="3"/>
      <c r="D3" s="3"/>
      <c r="E3" s="30"/>
      <c r="F3" s="30"/>
      <c r="H3" s="65"/>
      <c r="K3" s="65"/>
    </row>
    <row r="4" spans="1:11" s="66" customFormat="1" ht="15" x14ac:dyDescent="0.2">
      <c r="A4" s="64" t="s">
        <v>204</v>
      </c>
      <c r="B4" s="30"/>
      <c r="C4" s="3"/>
      <c r="D4" s="3"/>
      <c r="E4" s="30"/>
      <c r="F4" s="30"/>
      <c r="H4" s="65"/>
      <c r="K4" s="65"/>
    </row>
    <row r="5" spans="1:11" s="68" customFormat="1" ht="13.5" thickBot="1" x14ac:dyDescent="0.25">
      <c r="A5" s="67" t="s">
        <v>202</v>
      </c>
      <c r="B5" s="1"/>
      <c r="C5" s="2"/>
      <c r="D5" s="2"/>
      <c r="E5" s="1"/>
      <c r="F5" s="1"/>
      <c r="H5" s="22"/>
      <c r="K5" s="22"/>
    </row>
    <row r="6" spans="1:11" s="109" customFormat="1" ht="32.25" customHeight="1" thickBot="1" x14ac:dyDescent="0.25">
      <c r="A6" s="206" t="s">
        <v>247</v>
      </c>
      <c r="B6" s="207">
        <v>2012</v>
      </c>
      <c r="C6" s="208">
        <v>2013</v>
      </c>
      <c r="D6" s="208">
        <v>2014</v>
      </c>
      <c r="E6" s="208">
        <v>2015</v>
      </c>
      <c r="F6" s="208">
        <v>2016</v>
      </c>
      <c r="G6" s="208">
        <v>2017</v>
      </c>
      <c r="H6" s="209">
        <v>2018</v>
      </c>
      <c r="I6" s="209">
        <v>2019</v>
      </c>
      <c r="J6" s="209">
        <v>2020</v>
      </c>
      <c r="K6" s="210">
        <v>2021</v>
      </c>
    </row>
    <row r="7" spans="1:11" s="68" customFormat="1" ht="12" x14ac:dyDescent="0.2">
      <c r="A7" s="158" t="s">
        <v>217</v>
      </c>
      <c r="B7" s="148">
        <v>41437770056</v>
      </c>
      <c r="C7" s="135">
        <v>43058431807</v>
      </c>
      <c r="D7" s="135">
        <v>32195700859</v>
      </c>
      <c r="E7" s="135">
        <v>38243969812</v>
      </c>
      <c r="F7" s="135">
        <v>34552161912</v>
      </c>
      <c r="G7" s="135">
        <v>34816303273</v>
      </c>
      <c r="H7" s="135">
        <v>45476676265</v>
      </c>
      <c r="I7" s="135">
        <v>51124468000</v>
      </c>
      <c r="J7" s="135">
        <v>51245369879</v>
      </c>
      <c r="K7" s="136">
        <v>54026005049</v>
      </c>
    </row>
    <row r="8" spans="1:11" s="68" customFormat="1" ht="12" x14ac:dyDescent="0.2">
      <c r="A8" s="159" t="s">
        <v>171</v>
      </c>
      <c r="B8" s="149">
        <v>8184549629</v>
      </c>
      <c r="C8" s="124">
        <v>18136690801</v>
      </c>
      <c r="D8" s="124">
        <v>5576048982</v>
      </c>
      <c r="E8" s="124">
        <v>7509610752</v>
      </c>
      <c r="F8" s="124">
        <v>6556738444</v>
      </c>
      <c r="G8" s="124">
        <v>6802198470</v>
      </c>
      <c r="H8" s="124">
        <v>6817425702</v>
      </c>
      <c r="I8" s="124">
        <v>7155276539</v>
      </c>
      <c r="J8" s="124">
        <v>5623285156</v>
      </c>
      <c r="K8" s="130">
        <v>1409515768</v>
      </c>
    </row>
    <row r="9" spans="1:11" s="68" customFormat="1" ht="12" x14ac:dyDescent="0.2">
      <c r="A9" s="159" t="s">
        <v>215</v>
      </c>
      <c r="B9" s="149">
        <v>31214616227</v>
      </c>
      <c r="C9" s="124">
        <v>24648753085</v>
      </c>
      <c r="D9" s="124">
        <v>25978907244</v>
      </c>
      <c r="E9" s="124">
        <v>29538970487</v>
      </c>
      <c r="F9" s="124">
        <v>26900909549</v>
      </c>
      <c r="G9" s="124">
        <v>26940245159</v>
      </c>
      <c r="H9" s="124">
        <v>38178959967</v>
      </c>
      <c r="I9" s="124">
        <v>40618919922</v>
      </c>
      <c r="J9" s="124">
        <v>39676948798</v>
      </c>
      <c r="K9" s="130">
        <v>51946814349</v>
      </c>
    </row>
    <row r="10" spans="1:11" s="68" customFormat="1" ht="12" x14ac:dyDescent="0.2">
      <c r="A10" s="159" t="s">
        <v>216</v>
      </c>
      <c r="B10" s="149">
        <v>2038604200</v>
      </c>
      <c r="C10" s="124">
        <v>272987921</v>
      </c>
      <c r="D10" s="124">
        <v>640744633</v>
      </c>
      <c r="E10" s="124">
        <v>1195388573</v>
      </c>
      <c r="F10" s="124">
        <v>1094513919</v>
      </c>
      <c r="G10" s="124">
        <v>1073859644</v>
      </c>
      <c r="H10" s="124">
        <v>480290596</v>
      </c>
      <c r="I10" s="124">
        <v>3350271539</v>
      </c>
      <c r="J10" s="124">
        <v>5945135925</v>
      </c>
      <c r="K10" s="130">
        <v>669674932</v>
      </c>
    </row>
    <row r="11" spans="1:11" s="68" customFormat="1" ht="12" x14ac:dyDescent="0.2">
      <c r="A11" s="159"/>
      <c r="B11" s="149"/>
      <c r="C11" s="124"/>
      <c r="D11" s="125"/>
      <c r="E11" s="124"/>
      <c r="F11" s="125"/>
      <c r="G11" s="125"/>
      <c r="H11" s="125"/>
      <c r="I11" s="125"/>
      <c r="J11" s="125"/>
      <c r="K11" s="131"/>
    </row>
    <row r="12" spans="1:11" s="19" customFormat="1" ht="12" x14ac:dyDescent="0.2">
      <c r="A12" s="160" t="s">
        <v>218</v>
      </c>
      <c r="B12" s="150">
        <v>1527454908143</v>
      </c>
      <c r="C12" s="123">
        <v>1550794744908</v>
      </c>
      <c r="D12" s="123">
        <v>1919425711169</v>
      </c>
      <c r="E12" s="123">
        <v>1950069607179</v>
      </c>
      <c r="F12" s="123">
        <v>1945357263789</v>
      </c>
      <c r="G12" s="123">
        <v>1875627186926</v>
      </c>
      <c r="H12" s="123">
        <v>2137825073275</v>
      </c>
      <c r="I12" s="123">
        <v>2229893178290</v>
      </c>
      <c r="J12" s="123">
        <v>2527115052158</v>
      </c>
      <c r="K12" s="129">
        <v>2981087767918</v>
      </c>
    </row>
    <row r="13" spans="1:11" s="68" customFormat="1" ht="12" x14ac:dyDescent="0.2">
      <c r="A13" s="159" t="s">
        <v>171</v>
      </c>
      <c r="B13" s="149">
        <v>164360232802</v>
      </c>
      <c r="C13" s="124">
        <v>173942892576</v>
      </c>
      <c r="D13" s="124">
        <v>190565152051</v>
      </c>
      <c r="E13" s="124">
        <v>214648245733</v>
      </c>
      <c r="F13" s="124">
        <v>246552117005</v>
      </c>
      <c r="G13" s="124">
        <v>269939877714</v>
      </c>
      <c r="H13" s="124">
        <v>278126103026</v>
      </c>
      <c r="I13" s="124">
        <v>108086921677</v>
      </c>
      <c r="J13" s="124">
        <v>99958028975</v>
      </c>
      <c r="K13" s="130">
        <v>109667483257</v>
      </c>
    </row>
    <row r="14" spans="1:11" s="68" customFormat="1" ht="12" x14ac:dyDescent="0.2">
      <c r="A14" s="159" t="s">
        <v>215</v>
      </c>
      <c r="B14" s="149">
        <v>1164862908795</v>
      </c>
      <c r="C14" s="126">
        <v>1194000411499</v>
      </c>
      <c r="D14" s="126">
        <v>1086556996441</v>
      </c>
      <c r="E14" s="126">
        <v>1314801006045</v>
      </c>
      <c r="F14" s="126">
        <v>1389250209036</v>
      </c>
      <c r="G14" s="126">
        <v>1386030141697</v>
      </c>
      <c r="H14" s="126">
        <v>1625593562984</v>
      </c>
      <c r="I14" s="126">
        <v>1915992134219</v>
      </c>
      <c r="J14" s="126">
        <v>2214064177151</v>
      </c>
      <c r="K14" s="132">
        <v>2724952713945</v>
      </c>
    </row>
    <row r="15" spans="1:11" s="68" customFormat="1" ht="12" x14ac:dyDescent="0.2">
      <c r="A15" s="159" t="s">
        <v>216</v>
      </c>
      <c r="B15" s="149">
        <v>198231766546</v>
      </c>
      <c r="C15" s="124">
        <v>182851440833</v>
      </c>
      <c r="D15" s="124">
        <v>642303562677</v>
      </c>
      <c r="E15" s="126">
        <v>420620355401</v>
      </c>
      <c r="F15" s="126">
        <v>309554937748</v>
      </c>
      <c r="G15" s="126">
        <v>219657167515</v>
      </c>
      <c r="H15" s="126">
        <v>234105407265</v>
      </c>
      <c r="I15" s="126">
        <v>205814122394</v>
      </c>
      <c r="J15" s="126">
        <v>213092846032</v>
      </c>
      <c r="K15" s="132">
        <v>146467570716</v>
      </c>
    </row>
    <row r="16" spans="1:11" s="68" customFormat="1" ht="12" x14ac:dyDescent="0.2">
      <c r="A16" s="159"/>
      <c r="B16" s="149"/>
      <c r="C16" s="124"/>
      <c r="D16" s="124"/>
      <c r="E16" s="124"/>
      <c r="F16" s="124"/>
      <c r="G16" s="124"/>
      <c r="H16" s="124"/>
      <c r="I16" s="124"/>
      <c r="J16" s="124"/>
      <c r="K16" s="130"/>
    </row>
    <row r="17" spans="1:11" s="19" customFormat="1" ht="12" x14ac:dyDescent="0.2">
      <c r="A17" s="161" t="s">
        <v>219</v>
      </c>
      <c r="B17" s="150">
        <v>28273729668</v>
      </c>
      <c r="C17" s="123">
        <v>18872950542</v>
      </c>
      <c r="D17" s="123">
        <v>26783058579</v>
      </c>
      <c r="E17" s="123">
        <v>22255020656</v>
      </c>
      <c r="F17" s="123">
        <v>24780346152</v>
      </c>
      <c r="G17" s="123">
        <v>28023369945</v>
      </c>
      <c r="H17" s="123">
        <v>29963721892</v>
      </c>
      <c r="I17" s="123">
        <v>32180671577</v>
      </c>
      <c r="J17" s="123">
        <v>29813529513</v>
      </c>
      <c r="K17" s="129">
        <v>29623867162</v>
      </c>
    </row>
    <row r="18" spans="1:11" s="68" customFormat="1" ht="12" x14ac:dyDescent="0.2">
      <c r="A18" s="159" t="s">
        <v>171</v>
      </c>
      <c r="B18" s="149">
        <v>0</v>
      </c>
      <c r="C18" s="124">
        <v>0</v>
      </c>
      <c r="D18" s="124">
        <v>600000000</v>
      </c>
      <c r="E18" s="124">
        <v>6795000000</v>
      </c>
      <c r="F18" s="124">
        <v>2500000000</v>
      </c>
      <c r="G18" s="124">
        <v>0</v>
      </c>
      <c r="H18" s="124">
        <v>0</v>
      </c>
      <c r="I18" s="124">
        <v>0</v>
      </c>
      <c r="J18" s="124">
        <v>0</v>
      </c>
      <c r="K18" s="130">
        <v>0</v>
      </c>
    </row>
    <row r="19" spans="1:11" s="68" customFormat="1" ht="12" x14ac:dyDescent="0.2">
      <c r="A19" s="159" t="s">
        <v>215</v>
      </c>
      <c r="B19" s="149">
        <v>27925549481</v>
      </c>
      <c r="C19" s="124">
        <v>18872950542</v>
      </c>
      <c r="D19" s="124">
        <v>26011270579</v>
      </c>
      <c r="E19" s="124">
        <v>15460020656</v>
      </c>
      <c r="F19" s="124">
        <v>20915691310</v>
      </c>
      <c r="G19" s="124">
        <v>25817198920</v>
      </c>
      <c r="H19" s="124">
        <v>28009989892</v>
      </c>
      <c r="I19" s="124">
        <v>30554451577</v>
      </c>
      <c r="J19" s="124">
        <v>28789298513</v>
      </c>
      <c r="K19" s="130">
        <v>29504128162</v>
      </c>
    </row>
    <row r="20" spans="1:11" s="68" customFormat="1" ht="12" x14ac:dyDescent="0.2">
      <c r="A20" s="159" t="s">
        <v>216</v>
      </c>
      <c r="B20" s="149">
        <v>348180187</v>
      </c>
      <c r="C20" s="124">
        <v>0</v>
      </c>
      <c r="D20" s="124">
        <v>171788000</v>
      </c>
      <c r="E20" s="124">
        <v>0</v>
      </c>
      <c r="F20" s="124">
        <v>1364654842</v>
      </c>
      <c r="G20" s="124">
        <v>2206171025</v>
      </c>
      <c r="H20" s="124">
        <v>1953732000</v>
      </c>
      <c r="I20" s="124">
        <v>1626220000</v>
      </c>
      <c r="J20" s="124">
        <v>1024231000</v>
      </c>
      <c r="K20" s="130">
        <v>119739000</v>
      </c>
    </row>
    <row r="21" spans="1:11" s="68" customFormat="1" ht="11.25" customHeight="1" x14ac:dyDescent="0.2">
      <c r="A21" s="159"/>
      <c r="B21" s="149"/>
      <c r="C21" s="124"/>
      <c r="D21" s="124"/>
      <c r="E21" s="124"/>
      <c r="F21" s="124"/>
      <c r="G21" s="124"/>
      <c r="H21" s="124"/>
      <c r="I21" s="124"/>
      <c r="J21" s="124"/>
      <c r="K21" s="130"/>
    </row>
    <row r="22" spans="1:11" s="19" customFormat="1" ht="15" customHeight="1" x14ac:dyDescent="0.2">
      <c r="A22" s="160" t="s">
        <v>220</v>
      </c>
      <c r="B22" s="150">
        <v>766580405364</v>
      </c>
      <c r="C22" s="123">
        <v>622796622220</v>
      </c>
      <c r="D22" s="123">
        <v>712659837618</v>
      </c>
      <c r="E22" s="123">
        <v>681123390032.30994</v>
      </c>
      <c r="F22" s="123">
        <v>930232718272</v>
      </c>
      <c r="G22" s="123">
        <v>875246495867</v>
      </c>
      <c r="H22" s="123">
        <v>920486654311</v>
      </c>
      <c r="I22" s="123">
        <v>1462283187957</v>
      </c>
      <c r="J22" s="123">
        <v>1077033106031</v>
      </c>
      <c r="K22" s="129">
        <v>1236542776820</v>
      </c>
    </row>
    <row r="23" spans="1:11" s="68" customFormat="1" ht="12" x14ac:dyDescent="0.2">
      <c r="A23" s="159" t="s">
        <v>171</v>
      </c>
      <c r="B23" s="149">
        <v>69554192083</v>
      </c>
      <c r="C23" s="124">
        <v>193826613017</v>
      </c>
      <c r="D23" s="124">
        <v>258319066420</v>
      </c>
      <c r="E23" s="124">
        <v>216873475363.20999</v>
      </c>
      <c r="F23" s="124">
        <v>150507018547</v>
      </c>
      <c r="G23" s="124">
        <v>134017601221</v>
      </c>
      <c r="H23" s="124">
        <v>54772937878</v>
      </c>
      <c r="I23" s="124">
        <v>643167913737</v>
      </c>
      <c r="J23" s="124">
        <v>146179085935</v>
      </c>
      <c r="K23" s="130">
        <v>164052150287</v>
      </c>
    </row>
    <row r="24" spans="1:11" s="68" customFormat="1" ht="12" x14ac:dyDescent="0.2">
      <c r="A24" s="159" t="s">
        <v>215</v>
      </c>
      <c r="B24" s="149">
        <v>374107571799</v>
      </c>
      <c r="C24" s="124">
        <v>117122601334</v>
      </c>
      <c r="D24" s="124">
        <v>168673170193</v>
      </c>
      <c r="E24" s="124">
        <v>233301814858</v>
      </c>
      <c r="F24" s="124">
        <v>429983784607</v>
      </c>
      <c r="G24" s="124">
        <v>380199326126</v>
      </c>
      <c r="H24" s="124">
        <v>471091529795</v>
      </c>
      <c r="I24" s="124">
        <v>444285864589</v>
      </c>
      <c r="J24" s="124">
        <v>273018297437</v>
      </c>
      <c r="K24" s="130">
        <v>488061668307</v>
      </c>
    </row>
    <row r="25" spans="1:11" s="68" customFormat="1" ht="11.25" customHeight="1" x14ac:dyDescent="0.2">
      <c r="A25" s="159" t="s">
        <v>216</v>
      </c>
      <c r="B25" s="149">
        <v>322918641482</v>
      </c>
      <c r="C25" s="124">
        <v>311847407869</v>
      </c>
      <c r="D25" s="124">
        <v>285667601005</v>
      </c>
      <c r="E25" s="124">
        <v>230948099811.10001</v>
      </c>
      <c r="F25" s="124">
        <v>349741915118</v>
      </c>
      <c r="G25" s="124">
        <v>361029568520</v>
      </c>
      <c r="H25" s="124">
        <v>394622186638</v>
      </c>
      <c r="I25" s="124">
        <v>374829409631</v>
      </c>
      <c r="J25" s="124">
        <v>657835722659</v>
      </c>
      <c r="K25" s="130">
        <v>584428958226</v>
      </c>
    </row>
    <row r="26" spans="1:11" s="68" customFormat="1" ht="12.75" customHeight="1" x14ac:dyDescent="0.2">
      <c r="A26" s="159"/>
      <c r="B26" s="149"/>
      <c r="C26" s="124"/>
      <c r="D26" s="125"/>
      <c r="E26" s="124"/>
      <c r="F26" s="125"/>
      <c r="G26" s="125"/>
      <c r="H26" s="125"/>
      <c r="I26" s="125"/>
      <c r="J26" s="125"/>
      <c r="K26" s="131"/>
    </row>
    <row r="27" spans="1:11" s="19" customFormat="1" ht="24" x14ac:dyDescent="0.2">
      <c r="A27" s="162" t="s">
        <v>221</v>
      </c>
      <c r="B27" s="150">
        <v>547647936558</v>
      </c>
      <c r="C27" s="123">
        <v>444902008399.56</v>
      </c>
      <c r="D27" s="123">
        <v>811525225584</v>
      </c>
      <c r="E27" s="123">
        <v>521817807064</v>
      </c>
      <c r="F27" s="123">
        <v>1095056446271</v>
      </c>
      <c r="G27" s="123">
        <v>861218505608</v>
      </c>
      <c r="H27" s="123">
        <v>573857367967</v>
      </c>
      <c r="I27" s="123">
        <v>752299419711</v>
      </c>
      <c r="J27" s="123">
        <v>723655576367</v>
      </c>
      <c r="K27" s="129">
        <v>361248508514</v>
      </c>
    </row>
    <row r="28" spans="1:11" s="68" customFormat="1" ht="12" x14ac:dyDescent="0.2">
      <c r="A28" s="159" t="s">
        <v>171</v>
      </c>
      <c r="B28" s="149">
        <v>15783205449</v>
      </c>
      <c r="C28" s="124">
        <v>20299595588</v>
      </c>
      <c r="D28" s="124">
        <v>33485224946</v>
      </c>
      <c r="E28" s="124">
        <v>18335175560</v>
      </c>
      <c r="F28" s="124">
        <v>39358810901</v>
      </c>
      <c r="G28" s="124">
        <v>22023533056</v>
      </c>
      <c r="H28" s="124">
        <v>16685129163</v>
      </c>
      <c r="I28" s="124">
        <v>24938011915</v>
      </c>
      <c r="J28" s="124">
        <v>20201034008</v>
      </c>
      <c r="K28" s="130">
        <v>47336937025</v>
      </c>
    </row>
    <row r="29" spans="1:11" s="68" customFormat="1" ht="12" x14ac:dyDescent="0.2">
      <c r="A29" s="159" t="s">
        <v>215</v>
      </c>
      <c r="B29" s="149">
        <v>408597545014</v>
      </c>
      <c r="C29" s="124">
        <v>353356931105</v>
      </c>
      <c r="D29" s="124">
        <v>682621878813</v>
      </c>
      <c r="E29" s="124">
        <v>430171129048</v>
      </c>
      <c r="F29" s="124">
        <v>788018292490</v>
      </c>
      <c r="G29" s="124">
        <v>586856540301</v>
      </c>
      <c r="H29" s="124">
        <v>283043304336</v>
      </c>
      <c r="I29" s="124">
        <v>493077151973</v>
      </c>
      <c r="J29" s="124">
        <v>347954967083</v>
      </c>
      <c r="K29" s="130">
        <v>255791070506</v>
      </c>
    </row>
    <row r="30" spans="1:11" s="68" customFormat="1" ht="12" x14ac:dyDescent="0.2">
      <c r="A30" s="159" t="s">
        <v>216</v>
      </c>
      <c r="B30" s="149">
        <v>123267186095</v>
      </c>
      <c r="C30" s="124">
        <v>71245481706.559998</v>
      </c>
      <c r="D30" s="124">
        <v>95418121825</v>
      </c>
      <c r="E30" s="124">
        <v>73311502456</v>
      </c>
      <c r="F30" s="124">
        <v>267679342880</v>
      </c>
      <c r="G30" s="124">
        <v>252338432251</v>
      </c>
      <c r="H30" s="124">
        <v>274128934468</v>
      </c>
      <c r="I30" s="124">
        <v>234284255823</v>
      </c>
      <c r="J30" s="124">
        <v>355499575276</v>
      </c>
      <c r="K30" s="130">
        <v>58120500983</v>
      </c>
    </row>
    <row r="31" spans="1:11" s="68" customFormat="1" ht="9.75" customHeight="1" x14ac:dyDescent="0.2">
      <c r="A31" s="159"/>
      <c r="B31" s="149"/>
      <c r="C31" s="124"/>
      <c r="D31" s="125"/>
      <c r="E31" s="124"/>
      <c r="F31" s="125"/>
      <c r="G31" s="125"/>
      <c r="H31" s="125"/>
      <c r="I31" s="125"/>
      <c r="J31" s="125"/>
      <c r="K31" s="131"/>
    </row>
    <row r="32" spans="1:11" s="76" customFormat="1" ht="12" x14ac:dyDescent="0.2">
      <c r="A32" s="160" t="s">
        <v>222</v>
      </c>
      <c r="B32" s="150">
        <v>43786781383</v>
      </c>
      <c r="C32" s="123">
        <v>112188366736</v>
      </c>
      <c r="D32" s="123">
        <v>94131074949</v>
      </c>
      <c r="E32" s="123">
        <v>90237875288</v>
      </c>
      <c r="F32" s="123">
        <v>43931225876</v>
      </c>
      <c r="G32" s="123">
        <v>70609965081</v>
      </c>
      <c r="H32" s="123">
        <v>77024550459.309998</v>
      </c>
      <c r="I32" s="123">
        <v>86330563360.240005</v>
      </c>
      <c r="J32" s="123">
        <v>56658377189</v>
      </c>
      <c r="K32" s="129">
        <v>75583739382</v>
      </c>
    </row>
    <row r="33" spans="1:11" s="77" customFormat="1" ht="12" x14ac:dyDescent="0.2">
      <c r="A33" s="159" t="s">
        <v>171</v>
      </c>
      <c r="B33" s="151">
        <v>1943229243</v>
      </c>
      <c r="C33" s="127">
        <v>67563511409</v>
      </c>
      <c r="D33" s="127">
        <v>49722220790</v>
      </c>
      <c r="E33" s="127">
        <v>14608654943</v>
      </c>
      <c r="F33" s="127">
        <v>905082621</v>
      </c>
      <c r="G33" s="127">
        <v>12894578941</v>
      </c>
      <c r="H33" s="127">
        <v>3895756775.7399998</v>
      </c>
      <c r="I33" s="127">
        <v>110065677</v>
      </c>
      <c r="J33" s="127">
        <v>0</v>
      </c>
      <c r="K33" s="130">
        <v>0</v>
      </c>
    </row>
    <row r="34" spans="1:11" s="77" customFormat="1" ht="12" x14ac:dyDescent="0.2">
      <c r="A34" s="159" t="s">
        <v>215</v>
      </c>
      <c r="B34" s="151">
        <v>37497797482</v>
      </c>
      <c r="C34" s="127">
        <v>43375928677</v>
      </c>
      <c r="D34" s="127">
        <v>42256484768</v>
      </c>
      <c r="E34" s="127">
        <v>52466635632</v>
      </c>
      <c r="F34" s="124">
        <v>37168793116</v>
      </c>
      <c r="G34" s="127">
        <v>50028321063</v>
      </c>
      <c r="H34" s="127">
        <v>60516164155</v>
      </c>
      <c r="I34" s="127">
        <v>67109018995</v>
      </c>
      <c r="J34" s="127">
        <v>45240902609</v>
      </c>
      <c r="K34" s="130">
        <v>63994690682</v>
      </c>
    </row>
    <row r="35" spans="1:11" s="77" customFormat="1" ht="12" x14ac:dyDescent="0.2">
      <c r="A35" s="159" t="s">
        <v>216</v>
      </c>
      <c r="B35" s="151">
        <v>4345754658</v>
      </c>
      <c r="C35" s="127">
        <v>1248926650</v>
      </c>
      <c r="D35" s="127">
        <v>2152369391</v>
      </c>
      <c r="E35" s="127">
        <v>23162584713</v>
      </c>
      <c r="F35" s="127">
        <v>5857350139</v>
      </c>
      <c r="G35" s="127">
        <v>7687065077</v>
      </c>
      <c r="H35" s="127">
        <v>12612629528.57</v>
      </c>
      <c r="I35" s="127">
        <v>19111478688.240002</v>
      </c>
      <c r="J35" s="127">
        <v>11417474580</v>
      </c>
      <c r="K35" s="130">
        <v>11589048700</v>
      </c>
    </row>
    <row r="36" spans="1:11" s="78" customFormat="1" ht="10.5" customHeight="1" x14ac:dyDescent="0.2">
      <c r="A36" s="159"/>
      <c r="B36" s="149"/>
      <c r="C36" s="124"/>
      <c r="D36" s="124"/>
      <c r="E36" s="124"/>
      <c r="F36" s="124"/>
      <c r="G36" s="124"/>
      <c r="H36" s="124"/>
      <c r="I36" s="124"/>
      <c r="J36" s="124"/>
      <c r="K36" s="130"/>
    </row>
    <row r="37" spans="1:11" s="19" customFormat="1" ht="12" x14ac:dyDescent="0.2">
      <c r="A37" s="160" t="s">
        <v>223</v>
      </c>
      <c r="B37" s="150">
        <v>139726903740</v>
      </c>
      <c r="C37" s="123">
        <v>131751676367</v>
      </c>
      <c r="D37" s="123">
        <v>180605488700</v>
      </c>
      <c r="E37" s="123">
        <v>267502540924</v>
      </c>
      <c r="F37" s="123">
        <v>281039039087</v>
      </c>
      <c r="G37" s="123">
        <v>340201917843</v>
      </c>
      <c r="H37" s="123">
        <v>330817195710</v>
      </c>
      <c r="I37" s="123">
        <v>405160812971</v>
      </c>
      <c r="J37" s="123">
        <v>125733026893</v>
      </c>
      <c r="K37" s="129">
        <v>300532829533</v>
      </c>
    </row>
    <row r="38" spans="1:11" s="68" customFormat="1" ht="12" x14ac:dyDescent="0.2">
      <c r="A38" s="159" t="s">
        <v>171</v>
      </c>
      <c r="B38" s="149">
        <v>45053144256</v>
      </c>
      <c r="C38" s="124">
        <v>51325436130</v>
      </c>
      <c r="D38" s="124">
        <v>72690809332</v>
      </c>
      <c r="E38" s="124">
        <v>114317384140</v>
      </c>
      <c r="F38" s="124">
        <v>132758551029</v>
      </c>
      <c r="G38" s="124">
        <v>78551791915</v>
      </c>
      <c r="H38" s="124">
        <v>44709477776</v>
      </c>
      <c r="I38" s="124">
        <v>34061876764</v>
      </c>
      <c r="J38" s="124">
        <v>11391480130</v>
      </c>
      <c r="K38" s="130">
        <v>49865921073</v>
      </c>
    </row>
    <row r="39" spans="1:11" s="68" customFormat="1" ht="12" x14ac:dyDescent="0.2">
      <c r="A39" s="159" t="s">
        <v>215</v>
      </c>
      <c r="B39" s="149">
        <v>74989222249</v>
      </c>
      <c r="C39" s="124">
        <v>72746185499</v>
      </c>
      <c r="D39" s="124">
        <v>82024651158</v>
      </c>
      <c r="E39" s="124">
        <v>85392443558</v>
      </c>
      <c r="F39" s="124">
        <v>97620855205</v>
      </c>
      <c r="G39" s="124">
        <v>150540872597</v>
      </c>
      <c r="H39" s="124">
        <v>204665915472</v>
      </c>
      <c r="I39" s="124">
        <v>321108477083</v>
      </c>
      <c r="J39" s="124">
        <v>93274105716</v>
      </c>
      <c r="K39" s="130">
        <v>228202360033</v>
      </c>
    </row>
    <row r="40" spans="1:11" s="68" customFormat="1" ht="12" x14ac:dyDescent="0.2">
      <c r="A40" s="159" t="s">
        <v>216</v>
      </c>
      <c r="B40" s="149">
        <v>19684537235</v>
      </c>
      <c r="C40" s="124">
        <v>7680054738</v>
      </c>
      <c r="D40" s="124">
        <v>25890028210</v>
      </c>
      <c r="E40" s="124">
        <v>67792713226</v>
      </c>
      <c r="F40" s="124">
        <v>50659632853</v>
      </c>
      <c r="G40" s="124">
        <v>111109253331</v>
      </c>
      <c r="H40" s="124">
        <v>81441802462</v>
      </c>
      <c r="I40" s="124">
        <v>49990459124</v>
      </c>
      <c r="J40" s="124">
        <v>21067441047</v>
      </c>
      <c r="K40" s="130">
        <v>22464548427</v>
      </c>
    </row>
    <row r="41" spans="1:11" s="68" customFormat="1" ht="12" x14ac:dyDescent="0.2">
      <c r="A41" s="163"/>
      <c r="B41" s="149"/>
      <c r="C41" s="124"/>
      <c r="D41" s="124"/>
      <c r="E41" s="124"/>
      <c r="F41" s="124"/>
      <c r="G41" s="124"/>
      <c r="H41" s="124"/>
      <c r="I41" s="124"/>
      <c r="J41" s="124"/>
      <c r="K41" s="130"/>
    </row>
    <row r="42" spans="1:11" s="19" customFormat="1" ht="12" x14ac:dyDescent="0.2">
      <c r="A42" s="160" t="s">
        <v>224</v>
      </c>
      <c r="B42" s="150">
        <v>11269819783</v>
      </c>
      <c r="C42" s="123">
        <v>13977889461</v>
      </c>
      <c r="D42" s="123">
        <v>13151759248</v>
      </c>
      <c r="E42" s="123">
        <v>20945179780</v>
      </c>
      <c r="F42" s="123">
        <v>13959295507</v>
      </c>
      <c r="G42" s="123">
        <v>22969358648</v>
      </c>
      <c r="H42" s="123">
        <v>27081912559</v>
      </c>
      <c r="I42" s="123">
        <v>29870699208</v>
      </c>
      <c r="J42" s="123">
        <v>8918836178</v>
      </c>
      <c r="K42" s="129">
        <v>28260297415</v>
      </c>
    </row>
    <row r="43" spans="1:11" s="68" customFormat="1" ht="12" customHeight="1" x14ac:dyDescent="0.2">
      <c r="A43" s="159" t="s">
        <v>171</v>
      </c>
      <c r="B43" s="149">
        <v>742302512</v>
      </c>
      <c r="C43" s="124">
        <v>4344888189</v>
      </c>
      <c r="D43" s="124">
        <v>730338001</v>
      </c>
      <c r="E43" s="124">
        <v>6716779513</v>
      </c>
      <c r="F43" s="124">
        <v>136182728</v>
      </c>
      <c r="G43" s="124">
        <v>3703743232</v>
      </c>
      <c r="H43" s="124">
        <v>2757527894</v>
      </c>
      <c r="I43" s="124">
        <v>127201814</v>
      </c>
      <c r="J43" s="124">
        <v>43336547</v>
      </c>
      <c r="K43" s="130">
        <v>107915131</v>
      </c>
    </row>
    <row r="44" spans="1:11" s="68" customFormat="1" ht="12" x14ac:dyDescent="0.2">
      <c r="A44" s="159" t="s">
        <v>215</v>
      </c>
      <c r="B44" s="149">
        <v>10147215964</v>
      </c>
      <c r="C44" s="124">
        <v>8605771951</v>
      </c>
      <c r="D44" s="124">
        <v>11640449990</v>
      </c>
      <c r="E44" s="124">
        <v>12608424399</v>
      </c>
      <c r="F44" s="124">
        <v>13430279433</v>
      </c>
      <c r="G44" s="124">
        <v>16479879781</v>
      </c>
      <c r="H44" s="124">
        <v>23493504925</v>
      </c>
      <c r="I44" s="124">
        <v>24970141638</v>
      </c>
      <c r="J44" s="124">
        <v>8866434804</v>
      </c>
      <c r="K44" s="130">
        <v>27449005126</v>
      </c>
    </row>
    <row r="45" spans="1:11" s="68" customFormat="1" ht="12" x14ac:dyDescent="0.2">
      <c r="A45" s="159" t="s">
        <v>216</v>
      </c>
      <c r="B45" s="149">
        <v>380301307</v>
      </c>
      <c r="C45" s="124">
        <v>1027229321</v>
      </c>
      <c r="D45" s="124">
        <v>780971257</v>
      </c>
      <c r="E45" s="124">
        <v>1619975868</v>
      </c>
      <c r="F45" s="124">
        <v>392833346</v>
      </c>
      <c r="G45" s="124">
        <v>2785735635</v>
      </c>
      <c r="H45" s="124">
        <v>830879740</v>
      </c>
      <c r="I45" s="124">
        <v>4773355756</v>
      </c>
      <c r="J45" s="124">
        <v>9064827</v>
      </c>
      <c r="K45" s="130">
        <v>703377158</v>
      </c>
    </row>
    <row r="46" spans="1:11" s="68" customFormat="1" ht="11.25" customHeight="1" x14ac:dyDescent="0.2">
      <c r="A46" s="159"/>
      <c r="B46" s="149"/>
      <c r="C46" s="124"/>
      <c r="D46" s="124"/>
      <c r="E46" s="124"/>
      <c r="F46" s="124"/>
      <c r="G46" s="124"/>
      <c r="H46" s="124"/>
      <c r="I46" s="124"/>
      <c r="J46" s="124"/>
      <c r="K46" s="130"/>
    </row>
    <row r="47" spans="1:11" s="19" customFormat="1" ht="24" x14ac:dyDescent="0.2">
      <c r="A47" s="162" t="s">
        <v>225</v>
      </c>
      <c r="B47" s="150">
        <v>69398542180</v>
      </c>
      <c r="C47" s="123">
        <v>48015822868</v>
      </c>
      <c r="D47" s="123">
        <v>70315824875</v>
      </c>
      <c r="E47" s="123">
        <v>92088042073</v>
      </c>
      <c r="F47" s="123">
        <v>79026903558</v>
      </c>
      <c r="G47" s="123">
        <v>67786359238</v>
      </c>
      <c r="H47" s="123">
        <v>84617287207</v>
      </c>
      <c r="I47" s="123">
        <v>95490072594</v>
      </c>
      <c r="J47" s="123">
        <v>78490486594</v>
      </c>
      <c r="K47" s="129">
        <v>80847023637</v>
      </c>
    </row>
    <row r="48" spans="1:11" s="68" customFormat="1" ht="12" customHeight="1" x14ac:dyDescent="0.2">
      <c r="A48" s="159" t="s">
        <v>171</v>
      </c>
      <c r="B48" s="149">
        <v>6275761744</v>
      </c>
      <c r="C48" s="124">
        <v>13545918874</v>
      </c>
      <c r="D48" s="124">
        <v>19128713136</v>
      </c>
      <c r="E48" s="124">
        <v>21748653337</v>
      </c>
      <c r="F48" s="124">
        <v>14306294198</v>
      </c>
      <c r="G48" s="124">
        <v>16471928933</v>
      </c>
      <c r="H48" s="124">
        <v>17906515468</v>
      </c>
      <c r="I48" s="124">
        <v>1691262839</v>
      </c>
      <c r="J48" s="124">
        <v>872775527</v>
      </c>
      <c r="K48" s="130">
        <v>1017381806</v>
      </c>
    </row>
    <row r="49" spans="1:11" s="68" customFormat="1" ht="12" x14ac:dyDescent="0.2">
      <c r="A49" s="159" t="s">
        <v>215</v>
      </c>
      <c r="B49" s="149">
        <v>57428489028</v>
      </c>
      <c r="C49" s="124">
        <v>34256997274</v>
      </c>
      <c r="D49" s="124">
        <v>46675041295</v>
      </c>
      <c r="E49" s="124">
        <v>66198977019</v>
      </c>
      <c r="F49" s="124">
        <v>63747974253</v>
      </c>
      <c r="G49" s="124">
        <v>50265915733</v>
      </c>
      <c r="H49" s="124">
        <v>63945942301</v>
      </c>
      <c r="I49" s="124">
        <v>68694845994</v>
      </c>
      <c r="J49" s="124">
        <v>65783232244</v>
      </c>
      <c r="K49" s="130">
        <v>60440077553</v>
      </c>
    </row>
    <row r="50" spans="1:11" s="68" customFormat="1" ht="12" x14ac:dyDescent="0.2">
      <c r="A50" s="159" t="s">
        <v>216</v>
      </c>
      <c r="B50" s="149">
        <v>5694291408</v>
      </c>
      <c r="C50" s="124">
        <v>212906720</v>
      </c>
      <c r="D50" s="124">
        <v>4512070444</v>
      </c>
      <c r="E50" s="124">
        <v>4140411717</v>
      </c>
      <c r="F50" s="124">
        <v>972635107</v>
      </c>
      <c r="G50" s="124">
        <v>1048514572</v>
      </c>
      <c r="H50" s="124">
        <v>2764829438</v>
      </c>
      <c r="I50" s="124">
        <v>25103963761</v>
      </c>
      <c r="J50" s="124">
        <v>11834478823</v>
      </c>
      <c r="K50" s="130">
        <v>19389564278</v>
      </c>
    </row>
    <row r="51" spans="1:11" s="68" customFormat="1" ht="15" customHeight="1" x14ac:dyDescent="0.2">
      <c r="A51" s="159"/>
      <c r="B51" s="149"/>
      <c r="C51" s="124"/>
      <c r="D51" s="125"/>
      <c r="E51" s="124"/>
      <c r="F51" s="125"/>
      <c r="G51" s="125"/>
      <c r="H51" s="125"/>
      <c r="I51" s="125"/>
      <c r="J51" s="125"/>
      <c r="K51" s="131"/>
    </row>
    <row r="52" spans="1:11" s="19" customFormat="1" ht="13.5" customHeight="1" x14ac:dyDescent="0.2">
      <c r="A52" s="160" t="s">
        <v>226</v>
      </c>
      <c r="B52" s="150">
        <v>6076408330</v>
      </c>
      <c r="C52" s="123">
        <v>6255076099</v>
      </c>
      <c r="D52" s="123">
        <v>5806380321</v>
      </c>
      <c r="E52" s="123">
        <v>6032458167</v>
      </c>
      <c r="F52" s="123">
        <v>8024073816</v>
      </c>
      <c r="G52" s="123">
        <v>8574104911</v>
      </c>
      <c r="H52" s="123">
        <v>9608808812</v>
      </c>
      <c r="I52" s="123">
        <v>189111686675</v>
      </c>
      <c r="J52" s="123">
        <v>4827890269</v>
      </c>
      <c r="K52" s="129">
        <v>12417447763</v>
      </c>
    </row>
    <row r="53" spans="1:11" s="68" customFormat="1" ht="12" x14ac:dyDescent="0.2">
      <c r="A53" s="159" t="s">
        <v>171</v>
      </c>
      <c r="B53" s="149">
        <v>219226924</v>
      </c>
      <c r="C53" s="124">
        <v>195098936</v>
      </c>
      <c r="D53" s="124">
        <v>242075273</v>
      </c>
      <c r="E53" s="124">
        <v>155461323</v>
      </c>
      <c r="F53" s="124">
        <v>1848086935</v>
      </c>
      <c r="G53" s="124">
        <v>151726228</v>
      </c>
      <c r="H53" s="124">
        <v>228938734</v>
      </c>
      <c r="I53" s="124">
        <v>156867893</v>
      </c>
      <c r="J53" s="124">
        <v>78133202</v>
      </c>
      <c r="K53" s="130">
        <v>39847000</v>
      </c>
    </row>
    <row r="54" spans="1:11" s="68" customFormat="1" ht="12" x14ac:dyDescent="0.2">
      <c r="A54" s="159" t="s">
        <v>215</v>
      </c>
      <c r="B54" s="149">
        <v>5576926597</v>
      </c>
      <c r="C54" s="124">
        <v>6059977163</v>
      </c>
      <c r="D54" s="124">
        <v>5465078048</v>
      </c>
      <c r="E54" s="124">
        <v>5705126844</v>
      </c>
      <c r="F54" s="124">
        <v>6175986881</v>
      </c>
      <c r="G54" s="124">
        <v>6560623683</v>
      </c>
      <c r="H54" s="124">
        <v>9303609888</v>
      </c>
      <c r="I54" s="124">
        <v>187114364542</v>
      </c>
      <c r="J54" s="124">
        <v>4745886693</v>
      </c>
      <c r="K54" s="130">
        <v>11704132113</v>
      </c>
    </row>
    <row r="55" spans="1:11" s="68" customFormat="1" ht="12" x14ac:dyDescent="0.2">
      <c r="A55" s="159" t="s">
        <v>216</v>
      </c>
      <c r="B55" s="149">
        <v>280254809</v>
      </c>
      <c r="C55" s="124">
        <v>0</v>
      </c>
      <c r="D55" s="124">
        <v>99227000</v>
      </c>
      <c r="E55" s="124">
        <v>171870000</v>
      </c>
      <c r="F55" s="124">
        <v>0</v>
      </c>
      <c r="G55" s="124">
        <v>1861755000</v>
      </c>
      <c r="H55" s="124">
        <v>76260190</v>
      </c>
      <c r="I55" s="124">
        <v>1840454240</v>
      </c>
      <c r="J55" s="124">
        <v>3870374</v>
      </c>
      <c r="K55" s="130">
        <v>673468650</v>
      </c>
    </row>
    <row r="56" spans="1:11" s="68" customFormat="1" ht="11.25" customHeight="1" x14ac:dyDescent="0.2">
      <c r="A56" s="159"/>
      <c r="B56" s="149"/>
      <c r="C56" s="124"/>
      <c r="D56" s="124"/>
      <c r="E56" s="124"/>
      <c r="F56" s="124"/>
      <c r="G56" s="124"/>
      <c r="H56" s="124"/>
      <c r="I56" s="124"/>
      <c r="J56" s="124"/>
      <c r="K56" s="130"/>
    </row>
    <row r="57" spans="1:11" s="19" customFormat="1" ht="12" x14ac:dyDescent="0.2">
      <c r="A57" s="160" t="s">
        <v>73</v>
      </c>
      <c r="B57" s="150">
        <v>24255626186</v>
      </c>
      <c r="C57" s="123">
        <v>26043518944</v>
      </c>
      <c r="D57" s="123">
        <v>31509280941</v>
      </c>
      <c r="E57" s="123">
        <v>41768099035</v>
      </c>
      <c r="F57" s="123">
        <v>46489088745</v>
      </c>
      <c r="G57" s="123">
        <v>50843909741</v>
      </c>
      <c r="H57" s="123">
        <v>52700536418</v>
      </c>
      <c r="I57" s="123">
        <v>55266850369</v>
      </c>
      <c r="J57" s="123">
        <v>52628324323</v>
      </c>
      <c r="K57" s="129">
        <v>54612936941</v>
      </c>
    </row>
    <row r="58" spans="1:11" s="68" customFormat="1" ht="12" x14ac:dyDescent="0.2">
      <c r="A58" s="159" t="s">
        <v>171</v>
      </c>
      <c r="B58" s="149">
        <v>173802060</v>
      </c>
      <c r="C58" s="124">
        <v>255007439</v>
      </c>
      <c r="D58" s="124">
        <v>409739928</v>
      </c>
      <c r="E58" s="124">
        <v>255733938</v>
      </c>
      <c r="F58" s="124">
        <v>203492163</v>
      </c>
      <c r="G58" s="124">
        <v>176138129</v>
      </c>
      <c r="H58" s="124">
        <v>240353098</v>
      </c>
      <c r="I58" s="124">
        <v>282815149</v>
      </c>
      <c r="J58" s="124">
        <v>261676991</v>
      </c>
      <c r="K58" s="130">
        <v>51500322</v>
      </c>
    </row>
    <row r="59" spans="1:11" s="68" customFormat="1" ht="12" x14ac:dyDescent="0.2">
      <c r="A59" s="159" t="s">
        <v>215</v>
      </c>
      <c r="B59" s="149">
        <v>23636184319</v>
      </c>
      <c r="C59" s="124">
        <v>25708293742</v>
      </c>
      <c r="D59" s="124">
        <v>30960978723</v>
      </c>
      <c r="E59" s="124">
        <v>41202063144</v>
      </c>
      <c r="F59" s="124">
        <v>46285344257</v>
      </c>
      <c r="G59" s="124">
        <v>50666860823</v>
      </c>
      <c r="H59" s="124">
        <v>52335364320</v>
      </c>
      <c r="I59" s="124">
        <v>54920908723</v>
      </c>
      <c r="J59" s="124">
        <v>52366647332</v>
      </c>
      <c r="K59" s="130">
        <v>54399033619</v>
      </c>
    </row>
    <row r="60" spans="1:11" s="68" customFormat="1" ht="11.45" customHeight="1" x14ac:dyDescent="0.2">
      <c r="A60" s="159" t="s">
        <v>216</v>
      </c>
      <c r="B60" s="149">
        <v>445639807</v>
      </c>
      <c r="C60" s="124">
        <v>80217763</v>
      </c>
      <c r="D60" s="124">
        <v>138562290</v>
      </c>
      <c r="E60" s="124">
        <v>310301953</v>
      </c>
      <c r="F60" s="124">
        <v>252325</v>
      </c>
      <c r="G60" s="124">
        <v>910789</v>
      </c>
      <c r="H60" s="124">
        <v>124819000</v>
      </c>
      <c r="I60" s="124">
        <v>63126497</v>
      </c>
      <c r="J60" s="124">
        <v>0</v>
      </c>
      <c r="K60" s="130">
        <v>162403000</v>
      </c>
    </row>
    <row r="61" spans="1:11" s="68" customFormat="1" ht="12" x14ac:dyDescent="0.2">
      <c r="A61" s="159"/>
      <c r="B61" s="149"/>
      <c r="C61" s="124"/>
      <c r="D61" s="125"/>
      <c r="E61" s="124"/>
      <c r="F61" s="125"/>
      <c r="G61" s="125"/>
      <c r="H61" s="125"/>
      <c r="I61" s="125"/>
      <c r="J61" s="125"/>
      <c r="K61" s="131"/>
    </row>
    <row r="62" spans="1:11" s="19" customFormat="1" ht="12" x14ac:dyDescent="0.2">
      <c r="A62" s="160" t="s">
        <v>227</v>
      </c>
      <c r="B62" s="150">
        <v>141236345516</v>
      </c>
      <c r="C62" s="123">
        <v>89200422123</v>
      </c>
      <c r="D62" s="123">
        <v>124372105460</v>
      </c>
      <c r="E62" s="123">
        <v>102490674472</v>
      </c>
      <c r="F62" s="123">
        <v>53807237372.970001</v>
      </c>
      <c r="G62" s="123">
        <v>3038823736.8099999</v>
      </c>
      <c r="H62" s="123">
        <v>6286819921.6100006</v>
      </c>
      <c r="I62" s="123"/>
      <c r="J62" s="123"/>
      <c r="K62" s="129"/>
    </row>
    <row r="63" spans="1:11" s="68" customFormat="1" ht="12" x14ac:dyDescent="0.2">
      <c r="A63" s="159" t="s">
        <v>171</v>
      </c>
      <c r="B63" s="149">
        <v>310525890</v>
      </c>
      <c r="C63" s="124">
        <v>2069926303</v>
      </c>
      <c r="D63" s="124">
        <v>887932982</v>
      </c>
      <c r="E63" s="124">
        <v>306378917</v>
      </c>
      <c r="F63" s="124">
        <v>2176852571</v>
      </c>
      <c r="G63" s="124">
        <v>278171621.13999999</v>
      </c>
      <c r="H63" s="124">
        <v>286292119.76999998</v>
      </c>
      <c r="I63" s="124"/>
      <c r="J63" s="124"/>
      <c r="K63" s="130"/>
    </row>
    <row r="64" spans="1:11" s="68" customFormat="1" ht="12" x14ac:dyDescent="0.2">
      <c r="A64" s="159" t="s">
        <v>215</v>
      </c>
      <c r="B64" s="149">
        <v>88996480157</v>
      </c>
      <c r="C64" s="124">
        <v>75197591870</v>
      </c>
      <c r="D64" s="124">
        <v>88847836957</v>
      </c>
      <c r="E64" s="124">
        <v>86016910343</v>
      </c>
      <c r="F64" s="124">
        <v>42740676185</v>
      </c>
      <c r="G64" s="124">
        <v>2529127086</v>
      </c>
      <c r="H64" s="124">
        <v>5876044387</v>
      </c>
      <c r="I64" s="124"/>
      <c r="J64" s="124"/>
      <c r="K64" s="130"/>
    </row>
    <row r="65" spans="1:11" s="68" customFormat="1" ht="12" x14ac:dyDescent="0.2">
      <c r="A65" s="159" t="s">
        <v>216</v>
      </c>
      <c r="B65" s="149">
        <v>51929339469</v>
      </c>
      <c r="C65" s="124">
        <v>11932903950</v>
      </c>
      <c r="D65" s="124">
        <v>34636335521</v>
      </c>
      <c r="E65" s="124">
        <v>16167385212</v>
      </c>
      <c r="F65" s="124">
        <v>8889708616.9699993</v>
      </c>
      <c r="G65" s="124">
        <v>231525029.66999999</v>
      </c>
      <c r="H65" s="124">
        <v>124483414.84</v>
      </c>
      <c r="I65" s="124"/>
      <c r="J65" s="124"/>
      <c r="K65" s="130"/>
    </row>
    <row r="66" spans="1:11" s="68" customFormat="1" ht="12" x14ac:dyDescent="0.2">
      <c r="A66" s="159"/>
      <c r="B66" s="149"/>
      <c r="C66" s="124"/>
      <c r="D66" s="125"/>
      <c r="E66" s="124"/>
      <c r="F66" s="125"/>
      <c r="G66" s="125"/>
      <c r="H66" s="125"/>
      <c r="I66" s="125"/>
      <c r="J66" s="125"/>
      <c r="K66" s="131"/>
    </row>
    <row r="67" spans="1:11" s="19" customFormat="1" ht="11.25" customHeight="1" x14ac:dyDescent="0.2">
      <c r="A67" s="160" t="s">
        <v>228</v>
      </c>
      <c r="B67" s="150">
        <v>18035333245</v>
      </c>
      <c r="C67" s="123">
        <v>17732931142</v>
      </c>
      <c r="D67" s="123">
        <v>25461892608</v>
      </c>
      <c r="E67" s="123">
        <v>48899283637</v>
      </c>
      <c r="F67" s="123">
        <v>27883514485</v>
      </c>
      <c r="G67" s="123">
        <v>29283498018</v>
      </c>
      <c r="H67" s="123">
        <v>38052817626</v>
      </c>
      <c r="I67" s="123">
        <v>53024121042</v>
      </c>
      <c r="J67" s="123">
        <v>32815775359</v>
      </c>
      <c r="K67" s="129">
        <v>39687039251</v>
      </c>
    </row>
    <row r="68" spans="1:11" s="68" customFormat="1" ht="12" x14ac:dyDescent="0.2">
      <c r="A68" s="159" t="s">
        <v>171</v>
      </c>
      <c r="B68" s="149">
        <v>1652765044</v>
      </c>
      <c r="C68" s="124">
        <v>1212132097</v>
      </c>
      <c r="D68" s="124">
        <v>7996576935</v>
      </c>
      <c r="E68" s="124">
        <v>23653072180</v>
      </c>
      <c r="F68" s="124">
        <v>5117176410</v>
      </c>
      <c r="G68" s="124">
        <v>5615629914</v>
      </c>
      <c r="H68" s="124">
        <v>6238304448</v>
      </c>
      <c r="I68" s="124">
        <v>1669894356</v>
      </c>
      <c r="J68" s="124">
        <v>300121869</v>
      </c>
      <c r="K68" s="130">
        <v>958581800</v>
      </c>
    </row>
    <row r="69" spans="1:11" s="68" customFormat="1" ht="12" x14ac:dyDescent="0.2">
      <c r="A69" s="159" t="s">
        <v>215</v>
      </c>
      <c r="B69" s="149">
        <v>14950118518</v>
      </c>
      <c r="C69" s="124">
        <v>16516697045</v>
      </c>
      <c r="D69" s="124">
        <v>17441670673</v>
      </c>
      <c r="E69" s="124">
        <v>23668497457</v>
      </c>
      <c r="F69" s="124">
        <v>21381140425</v>
      </c>
      <c r="G69" s="124">
        <v>22839955530</v>
      </c>
      <c r="H69" s="124">
        <v>28001224178</v>
      </c>
      <c r="I69" s="124">
        <v>41408944147</v>
      </c>
      <c r="J69" s="124">
        <v>24718569779</v>
      </c>
      <c r="K69" s="130">
        <v>35771552903</v>
      </c>
    </row>
    <row r="70" spans="1:11" s="68" customFormat="1" ht="12" x14ac:dyDescent="0.2">
      <c r="A70" s="159" t="s">
        <v>216</v>
      </c>
      <c r="B70" s="149">
        <v>1432449683</v>
      </c>
      <c r="C70" s="124">
        <v>4102000</v>
      </c>
      <c r="D70" s="124">
        <v>23645000</v>
      </c>
      <c r="E70" s="124">
        <v>1577714000</v>
      </c>
      <c r="F70" s="124">
        <v>1385197650</v>
      </c>
      <c r="G70" s="124">
        <v>827912574</v>
      </c>
      <c r="H70" s="124">
        <v>3813289000</v>
      </c>
      <c r="I70" s="124">
        <v>9945282539</v>
      </c>
      <c r="J70" s="124">
        <v>7797083711</v>
      </c>
      <c r="K70" s="130">
        <v>2956904548</v>
      </c>
    </row>
    <row r="71" spans="1:11" s="68" customFormat="1" ht="12" x14ac:dyDescent="0.2">
      <c r="A71" s="159"/>
      <c r="B71" s="149"/>
      <c r="C71" s="124"/>
      <c r="D71" s="124"/>
      <c r="E71" s="124"/>
      <c r="F71" s="124"/>
      <c r="G71" s="124"/>
      <c r="H71" s="124"/>
      <c r="I71" s="124"/>
      <c r="J71" s="124"/>
      <c r="K71" s="130"/>
    </row>
    <row r="72" spans="1:11" s="19" customFormat="1" ht="24" x14ac:dyDescent="0.2">
      <c r="A72" s="162" t="s">
        <v>229</v>
      </c>
      <c r="B72" s="150">
        <v>6882709317</v>
      </c>
      <c r="C72" s="123">
        <v>7833236118</v>
      </c>
      <c r="D72" s="123">
        <v>8371460938</v>
      </c>
      <c r="E72" s="123">
        <v>12216731672</v>
      </c>
      <c r="F72" s="123">
        <v>9189761788</v>
      </c>
      <c r="G72" s="123">
        <v>11067814304</v>
      </c>
      <c r="H72" s="123">
        <v>11921433553</v>
      </c>
      <c r="I72" s="123">
        <v>12486183352</v>
      </c>
      <c r="J72" s="123">
        <v>10158375818</v>
      </c>
      <c r="K72" s="129">
        <v>10870456526</v>
      </c>
    </row>
    <row r="73" spans="1:11" s="68" customFormat="1" ht="12" x14ac:dyDescent="0.2">
      <c r="A73" s="159" t="s">
        <v>171</v>
      </c>
      <c r="B73" s="149">
        <v>619153400</v>
      </c>
      <c r="C73" s="124">
        <v>468747333</v>
      </c>
      <c r="D73" s="124">
        <v>25276160</v>
      </c>
      <c r="E73" s="124">
        <v>3345253851</v>
      </c>
      <c r="F73" s="124">
        <v>1027198057</v>
      </c>
      <c r="G73" s="124">
        <v>2682789712</v>
      </c>
      <c r="H73" s="124">
        <v>3215327484</v>
      </c>
      <c r="I73" s="124">
        <v>0</v>
      </c>
      <c r="J73" s="124">
        <v>0</v>
      </c>
      <c r="K73" s="130">
        <v>0</v>
      </c>
    </row>
    <row r="74" spans="1:11" s="68" customFormat="1" ht="12" x14ac:dyDescent="0.2">
      <c r="A74" s="159" t="s">
        <v>215</v>
      </c>
      <c r="B74" s="149">
        <v>6219111118</v>
      </c>
      <c r="C74" s="124">
        <v>6863984290</v>
      </c>
      <c r="D74" s="124">
        <v>8332043515</v>
      </c>
      <c r="E74" s="124">
        <v>8759541603</v>
      </c>
      <c r="F74" s="124">
        <v>8151213786</v>
      </c>
      <c r="G74" s="124">
        <v>8367228604</v>
      </c>
      <c r="H74" s="124">
        <v>8635803025</v>
      </c>
      <c r="I74" s="124">
        <v>9067737763</v>
      </c>
      <c r="J74" s="124">
        <v>8667659928</v>
      </c>
      <c r="K74" s="130">
        <v>9870507091</v>
      </c>
    </row>
    <row r="75" spans="1:11" s="68" customFormat="1" ht="12" x14ac:dyDescent="0.2">
      <c r="A75" s="159" t="s">
        <v>216</v>
      </c>
      <c r="B75" s="149">
        <v>44444799</v>
      </c>
      <c r="C75" s="124">
        <v>500504495</v>
      </c>
      <c r="D75" s="124">
        <v>14141263</v>
      </c>
      <c r="E75" s="124">
        <v>111936218</v>
      </c>
      <c r="F75" s="124">
        <v>11349945</v>
      </c>
      <c r="G75" s="124">
        <v>17795988</v>
      </c>
      <c r="H75" s="124">
        <v>70303044</v>
      </c>
      <c r="I75" s="124">
        <v>3418445589</v>
      </c>
      <c r="J75" s="124">
        <v>1490715890</v>
      </c>
      <c r="K75" s="130">
        <v>999949435</v>
      </c>
    </row>
    <row r="76" spans="1:11" s="68" customFormat="1" ht="12" x14ac:dyDescent="0.2">
      <c r="A76" s="159"/>
      <c r="B76" s="149"/>
      <c r="C76" s="124"/>
      <c r="D76" s="124"/>
      <c r="E76" s="124"/>
      <c r="F76" s="124"/>
      <c r="G76" s="124"/>
      <c r="H76" s="124"/>
      <c r="I76" s="124"/>
      <c r="J76" s="124"/>
      <c r="K76" s="130"/>
    </row>
    <row r="77" spans="1:11" s="68" customFormat="1" ht="24" x14ac:dyDescent="0.2">
      <c r="A77" s="162" t="s">
        <v>230</v>
      </c>
      <c r="B77" s="150">
        <v>25728562503</v>
      </c>
      <c r="C77" s="123">
        <v>14980939636</v>
      </c>
      <c r="D77" s="123">
        <v>18436131457</v>
      </c>
      <c r="E77" s="123">
        <v>16815544195</v>
      </c>
      <c r="F77" s="123">
        <v>16701750264</v>
      </c>
      <c r="G77" s="123">
        <v>27725875787</v>
      </c>
      <c r="H77" s="123">
        <v>30360096377</v>
      </c>
      <c r="I77" s="123">
        <v>32754453681</v>
      </c>
      <c r="J77" s="123">
        <v>27817591558</v>
      </c>
      <c r="K77" s="129">
        <v>34171960266</v>
      </c>
    </row>
    <row r="78" spans="1:11" s="68" customFormat="1" ht="12" x14ac:dyDescent="0.2">
      <c r="A78" s="159" t="s">
        <v>171</v>
      </c>
      <c r="B78" s="149">
        <v>0</v>
      </c>
      <c r="C78" s="124">
        <v>360727366</v>
      </c>
      <c r="D78" s="124">
        <v>0</v>
      </c>
      <c r="E78" s="124">
        <v>0</v>
      </c>
      <c r="F78" s="124">
        <v>0</v>
      </c>
      <c r="G78" s="124">
        <v>100000000</v>
      </c>
      <c r="H78" s="124">
        <v>0</v>
      </c>
      <c r="I78" s="124">
        <v>0</v>
      </c>
      <c r="J78" s="124">
        <v>0</v>
      </c>
      <c r="K78" s="130">
        <v>0</v>
      </c>
    </row>
    <row r="79" spans="1:11" s="68" customFormat="1" ht="12" x14ac:dyDescent="0.2">
      <c r="A79" s="159" t="s">
        <v>215</v>
      </c>
      <c r="B79" s="149">
        <v>25728562503</v>
      </c>
      <c r="C79" s="124">
        <v>14620212270</v>
      </c>
      <c r="D79" s="124">
        <v>18436131457</v>
      </c>
      <c r="E79" s="124">
        <v>16815544195</v>
      </c>
      <c r="F79" s="124">
        <v>16701750264</v>
      </c>
      <c r="G79" s="124">
        <v>27625875787</v>
      </c>
      <c r="H79" s="124">
        <v>30360096377</v>
      </c>
      <c r="I79" s="124">
        <v>32754453681</v>
      </c>
      <c r="J79" s="124">
        <v>27608990558</v>
      </c>
      <c r="K79" s="130">
        <v>34171960266</v>
      </c>
    </row>
    <row r="80" spans="1:11" s="68" customFormat="1" ht="12" x14ac:dyDescent="0.2">
      <c r="A80" s="159" t="s">
        <v>216</v>
      </c>
      <c r="B80" s="149">
        <v>0</v>
      </c>
      <c r="C80" s="124">
        <v>0</v>
      </c>
      <c r="D80" s="124">
        <v>0</v>
      </c>
      <c r="E80" s="124">
        <v>0</v>
      </c>
      <c r="F80" s="124">
        <v>0</v>
      </c>
      <c r="G80" s="124">
        <v>0</v>
      </c>
      <c r="H80" s="124">
        <v>0</v>
      </c>
      <c r="I80" s="124">
        <v>0</v>
      </c>
      <c r="J80" s="124">
        <v>208601000</v>
      </c>
      <c r="K80" s="130">
        <v>0</v>
      </c>
    </row>
    <row r="81" spans="1:11" s="68" customFormat="1" ht="9.75" customHeight="1" x14ac:dyDescent="0.2">
      <c r="A81" s="159"/>
      <c r="B81" s="149"/>
      <c r="C81" s="124"/>
      <c r="D81" s="125"/>
      <c r="E81" s="124"/>
      <c r="F81" s="125"/>
      <c r="G81" s="125"/>
      <c r="H81" s="125"/>
      <c r="I81" s="125"/>
      <c r="J81" s="125"/>
      <c r="K81" s="131"/>
    </row>
    <row r="82" spans="1:11" s="68" customFormat="1" ht="12" x14ac:dyDescent="0.2">
      <c r="A82" s="160" t="s">
        <v>231</v>
      </c>
      <c r="B82" s="150">
        <v>10687570825</v>
      </c>
      <c r="C82" s="123">
        <v>9308320400</v>
      </c>
      <c r="D82" s="123">
        <v>10394138837</v>
      </c>
      <c r="E82" s="123">
        <v>11472758866</v>
      </c>
      <c r="F82" s="123">
        <v>9486125357</v>
      </c>
      <c r="G82" s="123">
        <v>14203344134</v>
      </c>
      <c r="H82" s="123">
        <v>16401699583</v>
      </c>
      <c r="I82" s="123">
        <v>18626712388</v>
      </c>
      <c r="J82" s="123">
        <v>16991418747</v>
      </c>
      <c r="K82" s="129">
        <v>25072390354</v>
      </c>
    </row>
    <row r="83" spans="1:11" s="68" customFormat="1" ht="12" x14ac:dyDescent="0.2">
      <c r="A83" s="159" t="s">
        <v>171</v>
      </c>
      <c r="B83" s="149">
        <v>0</v>
      </c>
      <c r="C83" s="124">
        <v>0</v>
      </c>
      <c r="D83" s="124">
        <v>0</v>
      </c>
      <c r="E83" s="124">
        <v>0</v>
      </c>
      <c r="F83" s="124">
        <v>0</v>
      </c>
      <c r="G83" s="124">
        <v>0</v>
      </c>
      <c r="H83" s="124">
        <v>0</v>
      </c>
      <c r="I83" s="124">
        <v>0</v>
      </c>
      <c r="J83" s="124">
        <v>0</v>
      </c>
      <c r="K83" s="130">
        <v>0</v>
      </c>
    </row>
    <row r="84" spans="1:11" s="68" customFormat="1" ht="12" x14ac:dyDescent="0.2">
      <c r="A84" s="159" t="s">
        <v>215</v>
      </c>
      <c r="B84" s="149">
        <v>10683382825</v>
      </c>
      <c r="C84" s="124">
        <v>9308320400</v>
      </c>
      <c r="D84" s="124">
        <v>10394138837</v>
      </c>
      <c r="E84" s="124">
        <v>11472758866</v>
      </c>
      <c r="F84" s="124">
        <v>9486125357</v>
      </c>
      <c r="G84" s="124">
        <v>14203344134</v>
      </c>
      <c r="H84" s="124">
        <v>16307176996</v>
      </c>
      <c r="I84" s="124">
        <v>18626712388</v>
      </c>
      <c r="J84" s="124">
        <v>16991418747</v>
      </c>
      <c r="K84" s="130">
        <v>24117757469</v>
      </c>
    </row>
    <row r="85" spans="1:11" s="68" customFormat="1" ht="12" x14ac:dyDescent="0.2">
      <c r="A85" s="159" t="s">
        <v>216</v>
      </c>
      <c r="B85" s="149">
        <v>4188000</v>
      </c>
      <c r="C85" s="124">
        <v>0</v>
      </c>
      <c r="D85" s="125">
        <v>0</v>
      </c>
      <c r="E85" s="124">
        <v>0</v>
      </c>
      <c r="F85" s="125">
        <v>0</v>
      </c>
      <c r="G85" s="125">
        <v>0</v>
      </c>
      <c r="H85" s="125">
        <v>94522587</v>
      </c>
      <c r="I85" s="125">
        <v>0</v>
      </c>
      <c r="J85" s="125">
        <v>0</v>
      </c>
      <c r="K85" s="131">
        <v>954632885</v>
      </c>
    </row>
    <row r="86" spans="1:11" s="68" customFormat="1" ht="12" x14ac:dyDescent="0.2">
      <c r="A86" s="159"/>
      <c r="B86" s="149"/>
      <c r="C86" s="124"/>
      <c r="D86" s="125"/>
      <c r="E86" s="124"/>
      <c r="F86" s="125"/>
      <c r="G86" s="125"/>
      <c r="H86" s="125"/>
      <c r="I86" s="125"/>
      <c r="J86" s="125"/>
      <c r="K86" s="131"/>
    </row>
    <row r="87" spans="1:11" s="68" customFormat="1" ht="12" x14ac:dyDescent="0.2">
      <c r="A87" s="160" t="s">
        <v>232</v>
      </c>
      <c r="B87" s="150">
        <v>33010639952</v>
      </c>
      <c r="C87" s="123">
        <v>61710493198</v>
      </c>
      <c r="D87" s="123">
        <v>72385959704</v>
      </c>
      <c r="E87" s="123">
        <v>127810841363</v>
      </c>
      <c r="F87" s="123">
        <v>109604407761</v>
      </c>
      <c r="G87" s="123">
        <v>105365625877</v>
      </c>
      <c r="H87" s="123">
        <v>116679958601</v>
      </c>
      <c r="I87" s="123">
        <v>121951368276</v>
      </c>
      <c r="J87" s="123">
        <v>107071162787</v>
      </c>
      <c r="K87" s="129">
        <v>137869590832</v>
      </c>
    </row>
    <row r="88" spans="1:11" s="68" customFormat="1" ht="12" x14ac:dyDescent="0.2">
      <c r="A88" s="159" t="s">
        <v>171</v>
      </c>
      <c r="B88" s="149">
        <v>6891877455</v>
      </c>
      <c r="C88" s="124">
        <v>17008597104</v>
      </c>
      <c r="D88" s="124">
        <v>14353810804</v>
      </c>
      <c r="E88" s="124">
        <v>19372509722</v>
      </c>
      <c r="F88" s="124">
        <v>12389683967</v>
      </c>
      <c r="G88" s="124">
        <v>13266979358</v>
      </c>
      <c r="H88" s="124">
        <v>18950571783</v>
      </c>
      <c r="I88" s="124">
        <v>11542153238</v>
      </c>
      <c r="J88" s="124">
        <v>3045587684</v>
      </c>
      <c r="K88" s="130">
        <v>5686646788</v>
      </c>
    </row>
    <row r="89" spans="1:11" s="68" customFormat="1" ht="12" x14ac:dyDescent="0.2">
      <c r="A89" s="159" t="s">
        <v>215</v>
      </c>
      <c r="B89" s="149">
        <v>26024775732</v>
      </c>
      <c r="C89" s="124">
        <v>43651390596</v>
      </c>
      <c r="D89" s="124">
        <v>54593150041</v>
      </c>
      <c r="E89" s="124">
        <v>106190476717</v>
      </c>
      <c r="F89" s="124">
        <v>94349922296</v>
      </c>
      <c r="G89" s="124">
        <v>90354868956</v>
      </c>
      <c r="H89" s="124">
        <v>96433254128</v>
      </c>
      <c r="I89" s="124">
        <v>106443193113</v>
      </c>
      <c r="J89" s="124">
        <v>90246095633</v>
      </c>
      <c r="K89" s="130">
        <v>98703367214</v>
      </c>
    </row>
    <row r="90" spans="1:11" s="68" customFormat="1" ht="12" x14ac:dyDescent="0.2">
      <c r="A90" s="159" t="s">
        <v>216</v>
      </c>
      <c r="B90" s="149">
        <v>93986765</v>
      </c>
      <c r="C90" s="124">
        <v>1050505498</v>
      </c>
      <c r="D90" s="124">
        <v>3438998859</v>
      </c>
      <c r="E90" s="124">
        <v>2247854924</v>
      </c>
      <c r="F90" s="124">
        <v>2864801498</v>
      </c>
      <c r="G90" s="124">
        <v>1743777563</v>
      </c>
      <c r="H90" s="124">
        <v>1296132690</v>
      </c>
      <c r="I90" s="124">
        <v>3966021925</v>
      </c>
      <c r="J90" s="124">
        <v>13779479470</v>
      </c>
      <c r="K90" s="130">
        <v>33479576830</v>
      </c>
    </row>
    <row r="91" spans="1:11" s="68" customFormat="1" ht="13.9" customHeight="1" x14ac:dyDescent="0.2">
      <c r="A91" s="159"/>
      <c r="B91" s="149"/>
      <c r="C91" s="124"/>
      <c r="D91" s="125"/>
      <c r="E91" s="124"/>
      <c r="F91" s="125"/>
      <c r="G91" s="125"/>
      <c r="H91" s="125"/>
      <c r="I91" s="125"/>
      <c r="J91" s="125"/>
      <c r="K91" s="131"/>
    </row>
    <row r="92" spans="1:11" s="68" customFormat="1" ht="22.5" customHeight="1" x14ac:dyDescent="0.2">
      <c r="A92" s="162" t="s">
        <v>233</v>
      </c>
      <c r="B92" s="150">
        <v>39980476961</v>
      </c>
      <c r="C92" s="123">
        <v>36291940949</v>
      </c>
      <c r="D92" s="123">
        <v>41078454175</v>
      </c>
      <c r="E92" s="123">
        <v>42736357850</v>
      </c>
      <c r="F92" s="123">
        <v>42978266647.220001</v>
      </c>
      <c r="G92" s="123">
        <v>51144666050.979996</v>
      </c>
      <c r="H92" s="123">
        <v>59553285907.510002</v>
      </c>
      <c r="I92" s="123">
        <v>66410100646</v>
      </c>
      <c r="J92" s="123">
        <v>71736971463</v>
      </c>
      <c r="K92" s="129">
        <v>87964216301</v>
      </c>
    </row>
    <row r="93" spans="1:11" s="68" customFormat="1" ht="12" x14ac:dyDescent="0.2">
      <c r="A93" s="159" t="s">
        <v>171</v>
      </c>
      <c r="B93" s="149">
        <v>1588266542</v>
      </c>
      <c r="C93" s="124">
        <v>2162749950</v>
      </c>
      <c r="D93" s="124">
        <v>2884493122</v>
      </c>
      <c r="E93" s="124">
        <v>2020062456</v>
      </c>
      <c r="F93" s="124">
        <v>2694270943.2200003</v>
      </c>
      <c r="G93" s="124">
        <v>4296662898.9799995</v>
      </c>
      <c r="H93" s="124">
        <v>6163535618.5100002</v>
      </c>
      <c r="I93" s="124">
        <v>5019531366</v>
      </c>
      <c r="J93" s="124">
        <v>3918306908</v>
      </c>
      <c r="K93" s="130">
        <v>26011793740</v>
      </c>
    </row>
    <row r="94" spans="1:11" s="68" customFormat="1" ht="12" x14ac:dyDescent="0.2">
      <c r="A94" s="159" t="s">
        <v>215</v>
      </c>
      <c r="B94" s="149">
        <v>37508171241</v>
      </c>
      <c r="C94" s="124">
        <v>33481864999</v>
      </c>
      <c r="D94" s="124">
        <v>37208607996</v>
      </c>
      <c r="E94" s="124">
        <v>39931363394</v>
      </c>
      <c r="F94" s="124">
        <v>39766417704</v>
      </c>
      <c r="G94" s="124">
        <v>45538257152</v>
      </c>
      <c r="H94" s="124">
        <v>53277048289</v>
      </c>
      <c r="I94" s="124">
        <v>58400448421</v>
      </c>
      <c r="J94" s="124">
        <v>62435758714</v>
      </c>
      <c r="K94" s="130">
        <v>58668673636</v>
      </c>
    </row>
    <row r="95" spans="1:11" s="68" customFormat="1" ht="12" x14ac:dyDescent="0.2">
      <c r="A95" s="159" t="s">
        <v>216</v>
      </c>
      <c r="B95" s="149">
        <v>884039178</v>
      </c>
      <c r="C95" s="124">
        <v>647326000</v>
      </c>
      <c r="D95" s="124">
        <v>985353057</v>
      </c>
      <c r="E95" s="124">
        <v>784932000</v>
      </c>
      <c r="F95" s="124">
        <v>517578000</v>
      </c>
      <c r="G95" s="124">
        <v>1309746000</v>
      </c>
      <c r="H95" s="124">
        <v>112702000</v>
      </c>
      <c r="I95" s="124">
        <v>2990120859</v>
      </c>
      <c r="J95" s="124">
        <v>5382905841</v>
      </c>
      <c r="K95" s="130">
        <v>3283748925</v>
      </c>
    </row>
    <row r="96" spans="1:11" s="68" customFormat="1" ht="12" x14ac:dyDescent="0.2">
      <c r="A96" s="159"/>
      <c r="B96" s="149"/>
      <c r="C96" s="124"/>
      <c r="D96" s="125"/>
      <c r="E96" s="124"/>
      <c r="F96" s="125"/>
      <c r="G96" s="125"/>
      <c r="H96" s="125"/>
      <c r="I96" s="125"/>
      <c r="J96" s="125"/>
      <c r="K96" s="131"/>
    </row>
    <row r="97" spans="1:11" s="68" customFormat="1" ht="24" customHeight="1" x14ac:dyDescent="0.2">
      <c r="A97" s="162" t="s">
        <v>234</v>
      </c>
      <c r="B97" s="150">
        <v>115417299528</v>
      </c>
      <c r="C97" s="123">
        <v>275097494235</v>
      </c>
      <c r="D97" s="123">
        <v>139976222868</v>
      </c>
      <c r="E97" s="123">
        <v>166047341194</v>
      </c>
      <c r="F97" s="123">
        <v>103031382778</v>
      </c>
      <c r="G97" s="123">
        <v>53444953926.360001</v>
      </c>
      <c r="H97" s="123">
        <v>90864360650.380005</v>
      </c>
      <c r="I97" s="123">
        <v>97401064810.050003</v>
      </c>
      <c r="J97" s="123">
        <v>135450223395</v>
      </c>
      <c r="K97" s="129">
        <v>122343460487</v>
      </c>
    </row>
    <row r="98" spans="1:11" s="68" customFormat="1" ht="12" x14ac:dyDescent="0.2">
      <c r="A98" s="159" t="s">
        <v>171</v>
      </c>
      <c r="B98" s="149">
        <v>34643241903</v>
      </c>
      <c r="C98" s="124">
        <v>195511307944</v>
      </c>
      <c r="D98" s="124">
        <v>52177258210</v>
      </c>
      <c r="E98" s="124">
        <v>12641764449</v>
      </c>
      <c r="F98" s="124">
        <v>3265318857</v>
      </c>
      <c r="G98" s="124">
        <v>0</v>
      </c>
      <c r="H98" s="124">
        <v>0</v>
      </c>
      <c r="I98" s="124">
        <v>35076649</v>
      </c>
      <c r="J98" s="124">
        <v>427460000</v>
      </c>
      <c r="K98" s="130">
        <v>0</v>
      </c>
    </row>
    <row r="99" spans="1:11" s="68" customFormat="1" ht="12" x14ac:dyDescent="0.2">
      <c r="A99" s="159" t="s">
        <v>215</v>
      </c>
      <c r="B99" s="149">
        <v>37393283625</v>
      </c>
      <c r="C99" s="124">
        <v>51958726175</v>
      </c>
      <c r="D99" s="124">
        <v>45958916658</v>
      </c>
      <c r="E99" s="124">
        <v>50434029303</v>
      </c>
      <c r="F99" s="124">
        <v>51664506298</v>
      </c>
      <c r="G99" s="124">
        <v>43750926782</v>
      </c>
      <c r="H99" s="124">
        <v>80003004077</v>
      </c>
      <c r="I99" s="124">
        <v>90650991895</v>
      </c>
      <c r="J99" s="124">
        <v>81642405843</v>
      </c>
      <c r="K99" s="130">
        <v>112997901113</v>
      </c>
    </row>
    <row r="100" spans="1:11" s="68" customFormat="1" ht="12" x14ac:dyDescent="0.2">
      <c r="A100" s="159" t="s">
        <v>216</v>
      </c>
      <c r="B100" s="149">
        <v>43380774000</v>
      </c>
      <c r="C100" s="124">
        <v>27627460116</v>
      </c>
      <c r="D100" s="124">
        <v>41840048000</v>
      </c>
      <c r="E100" s="124">
        <v>102971547442</v>
      </c>
      <c r="F100" s="124">
        <v>48101557623</v>
      </c>
      <c r="G100" s="124">
        <v>9694027144.3600006</v>
      </c>
      <c r="H100" s="124">
        <v>10861356573.379999</v>
      </c>
      <c r="I100" s="124">
        <v>6714996266.0500002</v>
      </c>
      <c r="J100" s="124">
        <v>53380357552</v>
      </c>
      <c r="K100" s="130">
        <v>9345559374</v>
      </c>
    </row>
    <row r="101" spans="1:11" s="68" customFormat="1" ht="10.5" customHeight="1" x14ac:dyDescent="0.2">
      <c r="A101" s="159"/>
      <c r="B101" s="149"/>
      <c r="C101" s="124"/>
      <c r="D101" s="125"/>
      <c r="E101" s="124"/>
      <c r="F101" s="125"/>
      <c r="G101" s="125"/>
      <c r="H101" s="125"/>
      <c r="I101" s="125"/>
      <c r="J101" s="125"/>
      <c r="K101" s="131"/>
    </row>
    <row r="102" spans="1:11" s="68" customFormat="1" ht="28.5" customHeight="1" x14ac:dyDescent="0.2">
      <c r="A102" s="162" t="s">
        <v>235</v>
      </c>
      <c r="B102" s="150">
        <v>158077884450.78</v>
      </c>
      <c r="C102" s="123">
        <v>166941137574</v>
      </c>
      <c r="D102" s="123">
        <v>279101188833</v>
      </c>
      <c r="E102" s="123">
        <v>291534682255</v>
      </c>
      <c r="F102" s="123">
        <v>224685235354</v>
      </c>
      <c r="G102" s="123">
        <v>243544949079.5</v>
      </c>
      <c r="H102" s="123">
        <v>468014917920</v>
      </c>
      <c r="I102" s="123">
        <v>359511549727.20001</v>
      </c>
      <c r="J102" s="123">
        <v>296393825703</v>
      </c>
      <c r="K102" s="129">
        <v>299440714189</v>
      </c>
    </row>
    <row r="103" spans="1:11" s="68" customFormat="1" ht="12" x14ac:dyDescent="0.2">
      <c r="A103" s="159" t="s">
        <v>171</v>
      </c>
      <c r="B103" s="149">
        <v>2710140937.0999999</v>
      </c>
      <c r="C103" s="124">
        <v>798735038</v>
      </c>
      <c r="D103" s="124">
        <v>2032099488</v>
      </c>
      <c r="E103" s="124">
        <v>3479378683</v>
      </c>
      <c r="F103" s="124">
        <v>1829211968</v>
      </c>
      <c r="G103" s="124">
        <v>2376244791</v>
      </c>
      <c r="H103" s="124">
        <v>177667089242</v>
      </c>
      <c r="I103" s="124">
        <v>1746660277</v>
      </c>
      <c r="J103" s="124">
        <v>4899882490</v>
      </c>
      <c r="K103" s="130">
        <v>4136282458</v>
      </c>
    </row>
    <row r="104" spans="1:11" s="68" customFormat="1" ht="11.25" customHeight="1" x14ac:dyDescent="0.2">
      <c r="A104" s="159" t="s">
        <v>215</v>
      </c>
      <c r="B104" s="149">
        <v>152115577367</v>
      </c>
      <c r="C104" s="124">
        <v>163072430113</v>
      </c>
      <c r="D104" s="124">
        <v>272679521364</v>
      </c>
      <c r="E104" s="124">
        <v>283170764984</v>
      </c>
      <c r="F104" s="124">
        <v>219144819571</v>
      </c>
      <c r="G104" s="124">
        <v>233929545097.5</v>
      </c>
      <c r="H104" s="124">
        <v>281734110351</v>
      </c>
      <c r="I104" s="124">
        <v>282020823729.20001</v>
      </c>
      <c r="J104" s="124">
        <v>249584832660</v>
      </c>
      <c r="K104" s="130">
        <v>255794875026</v>
      </c>
    </row>
    <row r="105" spans="1:11" s="68" customFormat="1" ht="12" x14ac:dyDescent="0.2">
      <c r="A105" s="159" t="s">
        <v>216</v>
      </c>
      <c r="B105" s="149">
        <v>3252166146.6799998</v>
      </c>
      <c r="C105" s="124">
        <v>3069972423</v>
      </c>
      <c r="D105" s="124">
        <v>4389567981</v>
      </c>
      <c r="E105" s="124">
        <v>4884538588</v>
      </c>
      <c r="F105" s="124">
        <v>3711203815</v>
      </c>
      <c r="G105" s="124">
        <v>7239159191</v>
      </c>
      <c r="H105" s="124">
        <v>8613718327</v>
      </c>
      <c r="I105" s="124">
        <v>75744065721</v>
      </c>
      <c r="J105" s="124">
        <v>41909110553</v>
      </c>
      <c r="K105" s="130">
        <v>39509556705</v>
      </c>
    </row>
    <row r="106" spans="1:11" s="68" customFormat="1" ht="12" x14ac:dyDescent="0.2">
      <c r="A106" s="159"/>
      <c r="B106" s="149"/>
      <c r="C106" s="124"/>
      <c r="D106" s="125"/>
      <c r="E106" s="124"/>
      <c r="F106" s="125"/>
      <c r="G106" s="125"/>
      <c r="H106" s="125"/>
      <c r="I106" s="125"/>
      <c r="J106" s="125"/>
      <c r="K106" s="131"/>
    </row>
    <row r="107" spans="1:11" s="19" customFormat="1" ht="24" x14ac:dyDescent="0.2">
      <c r="A107" s="162" t="s">
        <v>236</v>
      </c>
      <c r="B107" s="150"/>
      <c r="C107" s="123"/>
      <c r="D107" s="128"/>
      <c r="E107" s="123"/>
      <c r="F107" s="128"/>
      <c r="G107" s="123">
        <v>2388340361</v>
      </c>
      <c r="H107" s="123">
        <v>19353660964</v>
      </c>
      <c r="I107" s="123">
        <v>20910651039.200001</v>
      </c>
      <c r="J107" s="123">
        <v>19047053924</v>
      </c>
      <c r="K107" s="129">
        <v>22237470781</v>
      </c>
    </row>
    <row r="108" spans="1:11" s="68" customFormat="1" ht="10.5" customHeight="1" x14ac:dyDescent="0.2">
      <c r="A108" s="159" t="s">
        <v>171</v>
      </c>
      <c r="B108" s="149"/>
      <c r="C108" s="124"/>
      <c r="D108" s="125"/>
      <c r="E108" s="124"/>
      <c r="F108" s="125"/>
      <c r="G108" s="125">
        <v>0</v>
      </c>
      <c r="H108" s="125">
        <v>0</v>
      </c>
      <c r="I108" s="125">
        <v>0</v>
      </c>
      <c r="J108" s="125">
        <v>0</v>
      </c>
      <c r="K108" s="131">
        <v>2000000</v>
      </c>
    </row>
    <row r="109" spans="1:11" s="68" customFormat="1" ht="10.5" customHeight="1" x14ac:dyDescent="0.2">
      <c r="A109" s="159" t="s">
        <v>215</v>
      </c>
      <c r="B109" s="149"/>
      <c r="C109" s="124"/>
      <c r="D109" s="125"/>
      <c r="E109" s="124"/>
      <c r="F109" s="125"/>
      <c r="G109" s="125">
        <v>2388340361</v>
      </c>
      <c r="H109" s="125">
        <v>19353660964</v>
      </c>
      <c r="I109" s="125">
        <v>20892817074</v>
      </c>
      <c r="J109" s="125">
        <v>18906073867</v>
      </c>
      <c r="K109" s="131">
        <v>22234571404</v>
      </c>
    </row>
    <row r="110" spans="1:11" s="68" customFormat="1" ht="10.5" customHeight="1" x14ac:dyDescent="0.2">
      <c r="A110" s="159" t="s">
        <v>216</v>
      </c>
      <c r="B110" s="149"/>
      <c r="C110" s="124"/>
      <c r="D110" s="125"/>
      <c r="E110" s="124"/>
      <c r="F110" s="125"/>
      <c r="G110" s="125">
        <v>0</v>
      </c>
      <c r="H110" s="125">
        <v>0</v>
      </c>
      <c r="I110" s="125">
        <v>17833965.199999999</v>
      </c>
      <c r="J110" s="125">
        <v>140980057</v>
      </c>
      <c r="K110" s="131">
        <v>899377</v>
      </c>
    </row>
    <row r="111" spans="1:11" s="68" customFormat="1" ht="10.5" customHeight="1" x14ac:dyDescent="0.2">
      <c r="A111" s="159"/>
      <c r="B111" s="149"/>
      <c r="C111" s="124"/>
      <c r="D111" s="125"/>
      <c r="E111" s="124"/>
      <c r="F111" s="125"/>
      <c r="G111" s="125"/>
      <c r="H111" s="125"/>
      <c r="I111" s="125"/>
      <c r="J111" s="125"/>
      <c r="K111" s="131"/>
    </row>
    <row r="112" spans="1:11" s="19" customFormat="1" ht="24" x14ac:dyDescent="0.2">
      <c r="A112" s="162" t="s">
        <v>237</v>
      </c>
      <c r="B112" s="150"/>
      <c r="C112" s="123"/>
      <c r="D112" s="128"/>
      <c r="E112" s="123"/>
      <c r="F112" s="128"/>
      <c r="G112" s="128"/>
      <c r="H112" s="128"/>
      <c r="I112" s="128"/>
      <c r="J112" s="128"/>
      <c r="K112" s="129">
        <v>630716856</v>
      </c>
    </row>
    <row r="113" spans="1:11" s="68" customFormat="1" ht="10.5" customHeight="1" x14ac:dyDescent="0.2">
      <c r="A113" s="159" t="s">
        <v>171</v>
      </c>
      <c r="B113" s="149"/>
      <c r="C113" s="124"/>
      <c r="D113" s="125"/>
      <c r="E113" s="124"/>
      <c r="F113" s="125"/>
      <c r="G113" s="125"/>
      <c r="H113" s="125"/>
      <c r="I113" s="125"/>
      <c r="J113" s="125"/>
      <c r="K113" s="131">
        <v>0</v>
      </c>
    </row>
    <row r="114" spans="1:11" s="68" customFormat="1" ht="10.5" customHeight="1" x14ac:dyDescent="0.2">
      <c r="A114" s="159" t="s">
        <v>215</v>
      </c>
      <c r="B114" s="149"/>
      <c r="C114" s="124"/>
      <c r="D114" s="125"/>
      <c r="E114" s="124"/>
      <c r="F114" s="125"/>
      <c r="G114" s="125"/>
      <c r="H114" s="125"/>
      <c r="I114" s="125"/>
      <c r="J114" s="125"/>
      <c r="K114" s="131">
        <v>630716856</v>
      </c>
    </row>
    <row r="115" spans="1:11" s="68" customFormat="1" ht="10.5" customHeight="1" x14ac:dyDescent="0.2">
      <c r="A115" s="159" t="s">
        <v>216</v>
      </c>
      <c r="B115" s="149"/>
      <c r="C115" s="124"/>
      <c r="D115" s="125"/>
      <c r="E115" s="124"/>
      <c r="F115" s="125"/>
      <c r="G115" s="125"/>
      <c r="H115" s="125"/>
      <c r="I115" s="125"/>
      <c r="J115" s="125"/>
      <c r="K115" s="131">
        <v>0</v>
      </c>
    </row>
    <row r="116" spans="1:11" s="68" customFormat="1" ht="10.5" customHeight="1" thickBot="1" x14ac:dyDescent="0.25">
      <c r="A116" s="165"/>
      <c r="B116" s="152"/>
      <c r="C116" s="137"/>
      <c r="D116" s="10"/>
      <c r="E116" s="137"/>
      <c r="F116" s="10"/>
      <c r="G116" s="10"/>
      <c r="H116" s="10"/>
      <c r="I116" s="10"/>
      <c r="J116" s="10"/>
      <c r="K116" s="138"/>
    </row>
    <row r="117" spans="1:11" s="106" customFormat="1" ht="18" customHeight="1" thickBot="1" x14ac:dyDescent="0.25">
      <c r="A117" s="167" t="s">
        <v>238</v>
      </c>
      <c r="B117" s="153">
        <f>+B7+B12+B17+B22+B27+B32+B37+B42+B47+B52+B57+B62+B67+B72+B77+B82+B87+B92+B97+B102+B107+B112</f>
        <v>3754965653688.7798</v>
      </c>
      <c r="C117" s="141">
        <f t="shared" ref="C117:K117" si="0">+C7+C12+C17+C22+C27+C32+C37+C42+C47+C52+C57+C62+C67+C72+C77+C82+C87+C92+C97+C102+C107+C112</f>
        <v>3697754023726.5601</v>
      </c>
      <c r="D117" s="141">
        <f t="shared" si="0"/>
        <v>4617686897723</v>
      </c>
      <c r="E117" s="141">
        <f t="shared" si="0"/>
        <v>4552108205514.3105</v>
      </c>
      <c r="F117" s="141">
        <f t="shared" si="0"/>
        <v>5099816244792.1895</v>
      </c>
      <c r="G117" s="141">
        <f t="shared" si="0"/>
        <v>4777125368355.6514</v>
      </c>
      <c r="H117" s="141">
        <f t="shared" si="0"/>
        <v>5146948835978.8096</v>
      </c>
      <c r="I117" s="141">
        <f t="shared" si="0"/>
        <v>6172087815673.6904</v>
      </c>
      <c r="J117" s="141">
        <f t="shared" si="0"/>
        <v>5453601974148</v>
      </c>
      <c r="K117" s="142">
        <f t="shared" si="0"/>
        <v>5995071215977</v>
      </c>
    </row>
    <row r="118" spans="1:11" s="68" customFormat="1" ht="12" x14ac:dyDescent="0.2">
      <c r="A118" s="166"/>
      <c r="B118" s="154"/>
      <c r="C118" s="139"/>
      <c r="D118" s="139"/>
      <c r="E118" s="139"/>
      <c r="F118" s="139"/>
      <c r="G118" s="139"/>
      <c r="H118" s="139"/>
      <c r="I118" s="139"/>
      <c r="J118" s="139"/>
      <c r="K118" s="140"/>
    </row>
    <row r="119" spans="1:11" s="68" customFormat="1" ht="12" x14ac:dyDescent="0.2">
      <c r="A119" s="159" t="s">
        <v>171</v>
      </c>
      <c r="B119" s="149">
        <f>SUMIF($A$7:$A$115,$A119,B$7:B$115)</f>
        <v>360705617873.09998</v>
      </c>
      <c r="C119" s="124">
        <f t="shared" ref="C119:K119" si="1">SUMIF($A$7:$A$115,$A119,C$7:C$115)</f>
        <v>763028576094</v>
      </c>
      <c r="D119" s="124">
        <f t="shared" si="1"/>
        <v>711826836560</v>
      </c>
      <c r="E119" s="124">
        <f t="shared" si="1"/>
        <v>686782594860.20996</v>
      </c>
      <c r="F119" s="124">
        <f t="shared" si="1"/>
        <v>624132087344.21997</v>
      </c>
      <c r="G119" s="124">
        <f t="shared" si="1"/>
        <v>573349596134.12</v>
      </c>
      <c r="H119" s="124">
        <f t="shared" si="1"/>
        <v>638661286210.02002</v>
      </c>
      <c r="I119" s="124">
        <f t="shared" si="1"/>
        <v>839791529890</v>
      </c>
      <c r="J119" s="124">
        <f t="shared" si="1"/>
        <v>297200195422</v>
      </c>
      <c r="K119" s="130">
        <f t="shared" si="1"/>
        <v>410343956455</v>
      </c>
    </row>
    <row r="120" spans="1:11" s="68" customFormat="1" ht="12" x14ac:dyDescent="0.2">
      <c r="A120" s="159" t="s">
        <v>215</v>
      </c>
      <c r="B120" s="149">
        <f t="shared" ref="B120:K121" si="2">SUMIF($A$7:$A$115,$A120,B$7:B$115)</f>
        <v>2615603490041</v>
      </c>
      <c r="C120" s="124">
        <f t="shared" si="2"/>
        <v>2313426019629</v>
      </c>
      <c r="D120" s="124">
        <f t="shared" si="2"/>
        <v>2762756924750</v>
      </c>
      <c r="E120" s="124">
        <f t="shared" si="2"/>
        <v>2913306498552</v>
      </c>
      <c r="F120" s="124">
        <f t="shared" si="2"/>
        <v>3422884692023</v>
      </c>
      <c r="G120" s="124">
        <f t="shared" si="2"/>
        <v>3221913395372.5</v>
      </c>
      <c r="H120" s="124">
        <f t="shared" si="2"/>
        <v>3480159270807</v>
      </c>
      <c r="I120" s="124">
        <f t="shared" si="2"/>
        <v>4308712401466.2002</v>
      </c>
      <c r="J120" s="124">
        <f t="shared" si="2"/>
        <v>3754582704109</v>
      </c>
      <c r="K120" s="130">
        <f t="shared" si="2"/>
        <v>4649407577373</v>
      </c>
    </row>
    <row r="121" spans="1:11" s="68" customFormat="1" ht="12" x14ac:dyDescent="0.2">
      <c r="A121" s="159" t="s">
        <v>216</v>
      </c>
      <c r="B121" s="149">
        <f t="shared" si="2"/>
        <v>778656545774.68005</v>
      </c>
      <c r="C121" s="124">
        <f t="shared" si="2"/>
        <v>621299428003.56006</v>
      </c>
      <c r="D121" s="124">
        <f t="shared" si="2"/>
        <v>1143103136413</v>
      </c>
      <c r="E121" s="124">
        <f t="shared" si="2"/>
        <v>952019112102.09998</v>
      </c>
      <c r="F121" s="124">
        <f t="shared" si="2"/>
        <v>1052799465424.97</v>
      </c>
      <c r="G121" s="124">
        <f t="shared" si="2"/>
        <v>981862376849.03003</v>
      </c>
      <c r="H121" s="124">
        <f t="shared" si="2"/>
        <v>1028128278961.7899</v>
      </c>
      <c r="I121" s="124">
        <f t="shared" si="2"/>
        <v>1023583884317.49</v>
      </c>
      <c r="J121" s="124">
        <f t="shared" si="2"/>
        <v>1401819074617</v>
      </c>
      <c r="K121" s="130">
        <f t="shared" si="2"/>
        <v>935319682149</v>
      </c>
    </row>
    <row r="122" spans="1:11" s="68" customFormat="1" thickBot="1" x14ac:dyDescent="0.25">
      <c r="A122" s="165"/>
      <c r="B122" s="152"/>
      <c r="C122" s="137"/>
      <c r="D122" s="137"/>
      <c r="E122" s="137"/>
      <c r="F122" s="137"/>
      <c r="G122" s="137"/>
      <c r="H122" s="137"/>
      <c r="I122" s="137"/>
      <c r="J122" s="137"/>
      <c r="K122" s="143"/>
    </row>
    <row r="123" spans="1:11" s="109" customFormat="1" ht="22.5" customHeight="1" thickBot="1" x14ac:dyDescent="0.25">
      <c r="A123" s="169" t="s">
        <v>238</v>
      </c>
      <c r="B123" s="155">
        <f>SUM(B119:B122)</f>
        <v>3754965653688.7803</v>
      </c>
      <c r="C123" s="146">
        <f t="shared" ref="C123:K123" si="3">SUM(C119:C122)</f>
        <v>3697754023726.5601</v>
      </c>
      <c r="D123" s="146">
        <f t="shared" si="3"/>
        <v>4617686897723</v>
      </c>
      <c r="E123" s="146">
        <f t="shared" si="3"/>
        <v>4552108205514.3096</v>
      </c>
      <c r="F123" s="146">
        <f t="shared" si="3"/>
        <v>5099816244792.1895</v>
      </c>
      <c r="G123" s="146">
        <f t="shared" si="3"/>
        <v>4777125368355.6504</v>
      </c>
      <c r="H123" s="146">
        <f t="shared" si="3"/>
        <v>5146948835978.8096</v>
      </c>
      <c r="I123" s="146">
        <f t="shared" si="3"/>
        <v>6172087815673.6904</v>
      </c>
      <c r="J123" s="146">
        <f t="shared" si="3"/>
        <v>5453601974148</v>
      </c>
      <c r="K123" s="147">
        <f t="shared" si="3"/>
        <v>5995071215977</v>
      </c>
    </row>
    <row r="124" spans="1:11" s="68" customFormat="1" ht="12" x14ac:dyDescent="0.2">
      <c r="A124" s="168"/>
      <c r="B124" s="156"/>
      <c r="C124" s="144"/>
      <c r="D124" s="144"/>
      <c r="E124" s="144"/>
      <c r="F124" s="144"/>
      <c r="G124" s="144"/>
      <c r="H124" s="144"/>
      <c r="I124" s="144"/>
      <c r="J124" s="144"/>
      <c r="K124" s="145"/>
    </row>
    <row r="125" spans="1:11" s="83" customFormat="1" ht="12" customHeight="1" x14ac:dyDescent="0.2">
      <c r="A125" s="160" t="s">
        <v>239</v>
      </c>
      <c r="B125" s="150">
        <v>75814133489</v>
      </c>
      <c r="C125" s="123">
        <v>88026725238</v>
      </c>
      <c r="D125" s="123">
        <v>96137950289</v>
      </c>
      <c r="E125" s="123">
        <v>102332637752</v>
      </c>
      <c r="F125" s="123">
        <v>97309791868</v>
      </c>
      <c r="G125" s="123">
        <v>123566416269</v>
      </c>
      <c r="H125" s="123">
        <v>141982960706</v>
      </c>
      <c r="I125" s="123">
        <v>157990832912</v>
      </c>
      <c r="J125" s="123">
        <v>160876214800</v>
      </c>
      <c r="K125" s="129">
        <v>171689011892</v>
      </c>
    </row>
    <row r="126" spans="1:11" s="78" customFormat="1" ht="12" x14ac:dyDescent="0.2">
      <c r="A126" s="159" t="s">
        <v>171</v>
      </c>
      <c r="B126" s="149">
        <v>0</v>
      </c>
      <c r="C126" s="124">
        <v>0</v>
      </c>
      <c r="D126" s="124">
        <v>2630000000</v>
      </c>
      <c r="E126" s="124">
        <v>1125578675</v>
      </c>
      <c r="F126" s="124">
        <v>856387338</v>
      </c>
      <c r="G126" s="124">
        <v>1252302626</v>
      </c>
      <c r="H126" s="124">
        <v>1320983528</v>
      </c>
      <c r="I126" s="124">
        <v>1251137002</v>
      </c>
      <c r="J126" s="124">
        <v>1420128200</v>
      </c>
      <c r="K126" s="130">
        <v>1445786638</v>
      </c>
    </row>
    <row r="127" spans="1:11" s="78" customFormat="1" ht="12" x14ac:dyDescent="0.2">
      <c r="A127" s="159" t="s">
        <v>215</v>
      </c>
      <c r="B127" s="149">
        <v>75814133489</v>
      </c>
      <c r="C127" s="124">
        <v>88026725238</v>
      </c>
      <c r="D127" s="124">
        <v>93507950289</v>
      </c>
      <c r="E127" s="124">
        <v>101207059077</v>
      </c>
      <c r="F127" s="124">
        <v>96453404530</v>
      </c>
      <c r="G127" s="124">
        <v>120042524643</v>
      </c>
      <c r="H127" s="124">
        <v>140661977178</v>
      </c>
      <c r="I127" s="124">
        <v>156739695910</v>
      </c>
      <c r="J127" s="124">
        <v>159456086600</v>
      </c>
      <c r="K127" s="130">
        <v>170243225254</v>
      </c>
    </row>
    <row r="128" spans="1:11" s="78" customFormat="1" ht="12" x14ac:dyDescent="0.2">
      <c r="A128" s="159" t="s">
        <v>216</v>
      </c>
      <c r="B128" s="149">
        <v>0</v>
      </c>
      <c r="C128" s="124">
        <v>0</v>
      </c>
      <c r="D128" s="124">
        <v>0</v>
      </c>
      <c r="E128" s="124">
        <v>0</v>
      </c>
      <c r="F128" s="124">
        <v>0</v>
      </c>
      <c r="G128" s="124">
        <v>2271589000</v>
      </c>
      <c r="H128" s="124">
        <v>0</v>
      </c>
      <c r="I128" s="124">
        <v>0</v>
      </c>
      <c r="J128" s="124">
        <v>0</v>
      </c>
      <c r="K128" s="130">
        <v>0</v>
      </c>
    </row>
    <row r="129" spans="1:12" s="78" customFormat="1" ht="12" x14ac:dyDescent="0.2">
      <c r="A129" s="159"/>
      <c r="B129" s="149"/>
      <c r="C129" s="124"/>
      <c r="D129" s="124"/>
      <c r="E129" s="124"/>
      <c r="F129" s="124"/>
      <c r="G129" s="124"/>
      <c r="H129" s="124"/>
      <c r="I129" s="124"/>
      <c r="J129" s="124"/>
      <c r="K129" s="130"/>
    </row>
    <row r="130" spans="1:12" s="19" customFormat="1" ht="12" x14ac:dyDescent="0.2">
      <c r="A130" s="160" t="s">
        <v>240</v>
      </c>
      <c r="B130" s="150">
        <v>303948783627</v>
      </c>
      <c r="C130" s="123">
        <v>241210936639</v>
      </c>
      <c r="D130" s="123">
        <v>249591784548</v>
      </c>
      <c r="E130" s="123">
        <v>300294121390</v>
      </c>
      <c r="F130" s="123">
        <v>338715422538</v>
      </c>
      <c r="G130" s="123">
        <v>329626181321</v>
      </c>
      <c r="H130" s="123">
        <v>331963939656</v>
      </c>
      <c r="I130" s="123">
        <v>362703316043</v>
      </c>
      <c r="J130" s="123">
        <v>357259637643</v>
      </c>
      <c r="K130" s="129">
        <v>378934470657</v>
      </c>
    </row>
    <row r="131" spans="1:12" s="68" customFormat="1" ht="12" x14ac:dyDescent="0.2">
      <c r="A131" s="159" t="s">
        <v>171</v>
      </c>
      <c r="B131" s="149">
        <v>49919410309</v>
      </c>
      <c r="C131" s="124">
        <v>48062825316</v>
      </c>
      <c r="D131" s="124">
        <v>64598927504</v>
      </c>
      <c r="E131" s="124">
        <v>67029746687</v>
      </c>
      <c r="F131" s="124">
        <v>64581792639</v>
      </c>
      <c r="G131" s="124">
        <v>68233872285</v>
      </c>
      <c r="H131" s="124">
        <v>52206346031</v>
      </c>
      <c r="I131" s="124">
        <v>51352569317</v>
      </c>
      <c r="J131" s="124">
        <v>39723536019</v>
      </c>
      <c r="K131" s="130">
        <v>43737939460</v>
      </c>
    </row>
    <row r="132" spans="1:12" s="68" customFormat="1" ht="12" x14ac:dyDescent="0.2">
      <c r="A132" s="159" t="s">
        <v>215</v>
      </c>
      <c r="B132" s="149">
        <v>162501072094</v>
      </c>
      <c r="C132" s="124">
        <v>169088165181</v>
      </c>
      <c r="D132" s="124">
        <v>181089087604</v>
      </c>
      <c r="E132" s="124">
        <v>203635734778</v>
      </c>
      <c r="F132" s="124">
        <v>221542706327</v>
      </c>
      <c r="G132" s="124">
        <v>232426021071</v>
      </c>
      <c r="H132" s="124">
        <v>250604659462</v>
      </c>
      <c r="I132" s="124">
        <v>267313810158</v>
      </c>
      <c r="J132" s="124">
        <v>253766758925</v>
      </c>
      <c r="K132" s="130">
        <v>276553151529</v>
      </c>
    </row>
    <row r="133" spans="1:12" s="68" customFormat="1" ht="12" x14ac:dyDescent="0.2">
      <c r="A133" s="159" t="s">
        <v>216</v>
      </c>
      <c r="B133" s="149">
        <v>91528301224</v>
      </c>
      <c r="C133" s="124">
        <v>24059946142</v>
      </c>
      <c r="D133" s="124">
        <v>3903769440</v>
      </c>
      <c r="E133" s="124">
        <v>29628639925</v>
      </c>
      <c r="F133" s="124">
        <v>52590923572</v>
      </c>
      <c r="G133" s="124">
        <v>28966287965</v>
      </c>
      <c r="H133" s="124">
        <v>29152934163</v>
      </c>
      <c r="I133" s="124">
        <v>44036936568</v>
      </c>
      <c r="J133" s="124">
        <v>63769342699</v>
      </c>
      <c r="K133" s="130">
        <v>58643379668</v>
      </c>
    </row>
    <row r="134" spans="1:12" s="78" customFormat="1" thickBot="1" x14ac:dyDescent="0.25">
      <c r="A134" s="164"/>
      <c r="B134" s="157"/>
      <c r="C134" s="133"/>
      <c r="D134" s="133"/>
      <c r="E134" s="133"/>
      <c r="F134" s="133"/>
      <c r="G134" s="133"/>
      <c r="H134" s="133"/>
      <c r="I134" s="133"/>
      <c r="J134" s="133"/>
      <c r="K134" s="134"/>
    </row>
    <row r="135" spans="1:12" s="68" customFormat="1" ht="12" x14ac:dyDescent="0.2">
      <c r="A135" s="47" t="s">
        <v>162</v>
      </c>
      <c r="B135" s="86"/>
      <c r="C135" s="43"/>
      <c r="D135" s="43"/>
      <c r="E135" s="86"/>
      <c r="F135" s="86"/>
      <c r="H135" s="22"/>
      <c r="I135" s="22"/>
      <c r="J135" s="87">
        <v>5971737826591</v>
      </c>
      <c r="K135" s="22"/>
    </row>
    <row r="136" spans="1:12" s="68" customFormat="1" ht="12" x14ac:dyDescent="0.2">
      <c r="A136" s="88" t="s">
        <v>142</v>
      </c>
      <c r="B136" s="73"/>
      <c r="C136" s="73"/>
      <c r="D136" s="73"/>
      <c r="E136" s="73"/>
      <c r="F136" s="73"/>
      <c r="G136" s="73"/>
      <c r="H136" s="73"/>
      <c r="I136" s="73"/>
      <c r="J136" s="73"/>
      <c r="K136" s="73"/>
    </row>
    <row r="137" spans="1:12" s="68" customFormat="1" ht="12" x14ac:dyDescent="0.2">
      <c r="A137" s="30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80"/>
    </row>
    <row r="138" spans="1:12" s="68" customFormat="1" ht="12" x14ac:dyDescent="0.2">
      <c r="A138" s="2"/>
      <c r="B138" s="73"/>
      <c r="C138" s="73"/>
      <c r="D138" s="73"/>
      <c r="E138" s="73"/>
      <c r="F138" s="73"/>
      <c r="G138" s="73"/>
      <c r="H138" s="73"/>
      <c r="I138" s="73"/>
      <c r="J138" s="73"/>
      <c r="K138" s="73"/>
    </row>
    <row r="139" spans="1:12" s="68" customFormat="1" ht="11.25" x14ac:dyDescent="0.2">
      <c r="B139" s="89"/>
      <c r="C139" s="22"/>
      <c r="D139" s="22"/>
      <c r="E139" s="22"/>
      <c r="F139" s="22"/>
      <c r="H139" s="22"/>
      <c r="I139" s="22"/>
      <c r="K139" s="22"/>
    </row>
    <row r="140" spans="1:12" s="33" customFormat="1" ht="11.25" x14ac:dyDescent="0.2">
      <c r="B140" s="89"/>
      <c r="C140" s="34"/>
      <c r="D140" s="34"/>
      <c r="H140" s="34"/>
      <c r="J140" s="90"/>
      <c r="K140" s="34"/>
    </row>
    <row r="141" spans="1:12" s="68" customFormat="1" ht="11.25" x14ac:dyDescent="0.2">
      <c r="B141" s="22"/>
      <c r="C141" s="22"/>
      <c r="D141" s="22"/>
      <c r="H141" s="22"/>
      <c r="K141" s="22"/>
    </row>
    <row r="142" spans="1:12" s="19" customFormat="1" ht="11.25" x14ac:dyDescent="0.2">
      <c r="C142" s="91"/>
      <c r="D142" s="91"/>
      <c r="H142" s="91"/>
      <c r="K142" s="91"/>
    </row>
    <row r="143" spans="1:12" s="19" customFormat="1" ht="11.25" x14ac:dyDescent="0.2">
      <c r="B143" s="92"/>
      <c r="C143" s="93"/>
      <c r="D143" s="93"/>
      <c r="E143" s="92"/>
      <c r="F143" s="92"/>
      <c r="H143" s="91"/>
      <c r="K143" s="91"/>
    </row>
    <row r="144" spans="1:12" s="68" customFormat="1" ht="11.25" x14ac:dyDescent="0.2">
      <c r="C144" s="22"/>
      <c r="D144" s="22"/>
      <c r="H144" s="22"/>
      <c r="K144" s="22"/>
    </row>
    <row r="145" spans="1:11" s="53" customFormat="1" x14ac:dyDescent="0.2">
      <c r="C145" s="54"/>
      <c r="D145" s="54"/>
      <c r="H145" s="54"/>
      <c r="K145" s="54"/>
    </row>
    <row r="146" spans="1:11" s="46" customFormat="1" ht="15" customHeight="1" x14ac:dyDescent="0.2">
      <c r="C146" s="55"/>
      <c r="D146" s="55"/>
      <c r="H146" s="55"/>
      <c r="K146" s="55"/>
    </row>
    <row r="147" spans="1:11" s="66" customFormat="1" ht="15" customHeight="1" x14ac:dyDescent="0.2">
      <c r="A147" s="94"/>
      <c r="C147" s="65"/>
      <c r="D147" s="65"/>
      <c r="H147" s="65"/>
      <c r="K147" s="65"/>
    </row>
    <row r="148" spans="1:11" s="66" customFormat="1" ht="15" customHeight="1" x14ac:dyDescent="0.2">
      <c r="A148" s="94"/>
      <c r="C148" s="65"/>
      <c r="D148" s="65"/>
      <c r="H148" s="65"/>
      <c r="K148" s="65"/>
    </row>
    <row r="149" spans="1:11" s="68" customFormat="1" ht="11.25" x14ac:dyDescent="0.2">
      <c r="C149" s="22"/>
      <c r="D149" s="22"/>
      <c r="H149" s="22"/>
      <c r="K149" s="22"/>
    </row>
    <row r="150" spans="1:11" s="68" customFormat="1" ht="11.25" x14ac:dyDescent="0.2">
      <c r="C150" s="22"/>
      <c r="D150" s="22"/>
      <c r="H150" s="22"/>
      <c r="K150" s="22"/>
    </row>
    <row r="151" spans="1:11" s="68" customFormat="1" ht="11.25" x14ac:dyDescent="0.2">
      <c r="C151" s="22"/>
      <c r="D151" s="22"/>
      <c r="H151" s="22"/>
      <c r="K151" s="22"/>
    </row>
    <row r="152" spans="1:11" s="68" customFormat="1" ht="11.25" x14ac:dyDescent="0.2">
      <c r="C152" s="22"/>
      <c r="D152" s="22"/>
      <c r="H152" s="22"/>
      <c r="K152" s="22"/>
    </row>
    <row r="153" spans="1:11" s="68" customFormat="1" ht="11.25" x14ac:dyDescent="0.2">
      <c r="C153" s="22"/>
      <c r="D153" s="22"/>
      <c r="H153" s="22"/>
      <c r="K153" s="22"/>
    </row>
    <row r="154" spans="1:11" s="68" customFormat="1" ht="11.25" x14ac:dyDescent="0.2">
      <c r="C154" s="22"/>
      <c r="D154" s="22"/>
      <c r="H154" s="22"/>
      <c r="K154" s="22"/>
    </row>
    <row r="155" spans="1:11" s="68" customFormat="1" ht="11.25" x14ac:dyDescent="0.2">
      <c r="C155" s="22"/>
      <c r="D155" s="22"/>
      <c r="H155" s="22"/>
      <c r="K155" s="22"/>
    </row>
    <row r="156" spans="1:11" s="19" customFormat="1" ht="11.25" x14ac:dyDescent="0.2">
      <c r="C156" s="91"/>
      <c r="D156" s="91"/>
      <c r="H156" s="91"/>
      <c r="K156" s="91"/>
    </row>
    <row r="157" spans="1:11" s="68" customFormat="1" ht="11.25" x14ac:dyDescent="0.2">
      <c r="C157" s="22"/>
      <c r="D157" s="22"/>
      <c r="H157" s="22"/>
      <c r="K157" s="22"/>
    </row>
    <row r="158" spans="1:11" s="68" customFormat="1" ht="11.25" x14ac:dyDescent="0.2">
      <c r="C158" s="22"/>
      <c r="D158" s="22"/>
      <c r="H158" s="22"/>
      <c r="K158" s="22"/>
    </row>
    <row r="159" spans="1:11" s="68" customFormat="1" ht="11.25" x14ac:dyDescent="0.2">
      <c r="C159" s="22"/>
      <c r="D159" s="22"/>
      <c r="H159" s="22"/>
      <c r="K159" s="22"/>
    </row>
    <row r="160" spans="1:11" s="68" customFormat="1" ht="11.25" x14ac:dyDescent="0.2">
      <c r="C160" s="22"/>
      <c r="D160" s="22"/>
      <c r="H160" s="22"/>
      <c r="K160" s="22"/>
    </row>
    <row r="161" spans="2:11" s="68" customFormat="1" ht="15" customHeight="1" x14ac:dyDescent="0.2">
      <c r="C161" s="22"/>
      <c r="D161" s="22"/>
      <c r="H161" s="22"/>
      <c r="K161" s="22"/>
    </row>
    <row r="162" spans="2:11" s="19" customFormat="1" ht="11.25" x14ac:dyDescent="0.2">
      <c r="C162" s="91"/>
      <c r="D162" s="91"/>
      <c r="H162" s="91"/>
      <c r="K162" s="91"/>
    </row>
    <row r="163" spans="2:11" s="19" customFormat="1" ht="11.25" x14ac:dyDescent="0.2">
      <c r="C163" s="91"/>
      <c r="D163" s="91"/>
      <c r="H163" s="91"/>
      <c r="K163" s="91"/>
    </row>
    <row r="164" spans="2:11" s="68" customFormat="1" ht="11.25" x14ac:dyDescent="0.2">
      <c r="C164" s="22"/>
      <c r="D164" s="22"/>
      <c r="H164" s="22"/>
      <c r="K164" s="22"/>
    </row>
    <row r="165" spans="2:11" s="68" customFormat="1" ht="11.25" x14ac:dyDescent="0.2">
      <c r="C165" s="22"/>
      <c r="D165" s="22"/>
      <c r="H165" s="22"/>
      <c r="K165" s="22"/>
    </row>
    <row r="166" spans="2:11" s="68" customFormat="1" ht="11.25" x14ac:dyDescent="0.2">
      <c r="C166" s="22"/>
      <c r="D166" s="22"/>
      <c r="H166" s="22"/>
      <c r="K166" s="22"/>
    </row>
    <row r="167" spans="2:11" s="68" customFormat="1" ht="11.25" x14ac:dyDescent="0.2">
      <c r="C167" s="22"/>
      <c r="D167" s="22"/>
      <c r="H167" s="22"/>
      <c r="K167" s="22"/>
    </row>
    <row r="168" spans="2:11" s="68" customFormat="1" ht="11.25" x14ac:dyDescent="0.2">
      <c r="C168" s="22"/>
      <c r="D168" s="22"/>
      <c r="H168" s="22"/>
      <c r="K168" s="22"/>
    </row>
    <row r="169" spans="2:11" s="68" customFormat="1" ht="11.25" x14ac:dyDescent="0.2">
      <c r="C169" s="22"/>
      <c r="D169" s="22"/>
      <c r="H169" s="22"/>
      <c r="K169" s="22"/>
    </row>
    <row r="170" spans="2:11" s="68" customFormat="1" ht="11.25" x14ac:dyDescent="0.2">
      <c r="C170" s="22"/>
      <c r="D170" s="22"/>
      <c r="H170" s="22"/>
      <c r="K170" s="22"/>
    </row>
    <row r="171" spans="2:11" s="68" customFormat="1" ht="11.25" x14ac:dyDescent="0.2">
      <c r="C171" s="22"/>
      <c r="D171" s="22"/>
      <c r="H171" s="22"/>
      <c r="K171" s="22"/>
    </row>
    <row r="172" spans="2:11" s="68" customFormat="1" ht="11.25" x14ac:dyDescent="0.2">
      <c r="C172" s="22"/>
      <c r="D172" s="22"/>
      <c r="H172" s="22"/>
      <c r="K172" s="22"/>
    </row>
    <row r="173" spans="2:11" s="68" customFormat="1" ht="11.25" x14ac:dyDescent="0.2">
      <c r="C173" s="22"/>
      <c r="D173" s="22"/>
      <c r="H173" s="22"/>
      <c r="K173" s="22"/>
    </row>
    <row r="174" spans="2:11" s="68" customFormat="1" ht="11.25" x14ac:dyDescent="0.2">
      <c r="C174" s="22"/>
      <c r="D174" s="22"/>
      <c r="H174" s="22"/>
      <c r="K174" s="22"/>
    </row>
    <row r="175" spans="2:11" s="68" customFormat="1" ht="11.25" x14ac:dyDescent="0.2">
      <c r="C175" s="22"/>
      <c r="D175" s="22"/>
      <c r="H175" s="22"/>
      <c r="K175" s="22"/>
    </row>
    <row r="176" spans="2:11" s="68" customFormat="1" ht="11.25" x14ac:dyDescent="0.2">
      <c r="B176" s="95"/>
      <c r="C176" s="22"/>
      <c r="D176" s="22"/>
      <c r="H176" s="22"/>
      <c r="K176" s="22"/>
    </row>
    <row r="177" spans="2:11" s="68" customFormat="1" ht="11.25" x14ac:dyDescent="0.2">
      <c r="B177" s="95"/>
      <c r="C177" s="22"/>
      <c r="D177" s="22"/>
      <c r="H177" s="22"/>
      <c r="K177" s="22"/>
    </row>
    <row r="178" spans="2:11" s="68" customFormat="1" ht="11.25" x14ac:dyDescent="0.2">
      <c r="B178" s="95"/>
      <c r="C178" s="22"/>
      <c r="D178" s="22"/>
      <c r="H178" s="22"/>
      <c r="K178" s="22"/>
    </row>
    <row r="179" spans="2:11" s="68" customFormat="1" ht="11.25" x14ac:dyDescent="0.2">
      <c r="B179" s="95"/>
      <c r="C179" s="22"/>
      <c r="D179" s="22"/>
      <c r="H179" s="22"/>
      <c r="K179" s="22"/>
    </row>
    <row r="180" spans="2:11" s="68" customFormat="1" ht="11.25" x14ac:dyDescent="0.2">
      <c r="B180" s="95"/>
      <c r="C180" s="22"/>
      <c r="D180" s="96"/>
      <c r="H180" s="22"/>
      <c r="K180" s="22"/>
    </row>
    <row r="181" spans="2:11" s="68" customFormat="1" ht="11.25" x14ac:dyDescent="0.2">
      <c r="B181" s="95"/>
      <c r="C181" s="22"/>
      <c r="D181" s="22"/>
      <c r="H181" s="22"/>
      <c r="K181" s="22"/>
    </row>
    <row r="182" spans="2:11" s="68" customFormat="1" ht="11.25" x14ac:dyDescent="0.2">
      <c r="C182" s="22"/>
      <c r="D182" s="22"/>
      <c r="H182" s="22"/>
      <c r="K182" s="22"/>
    </row>
    <row r="183" spans="2:11" s="68" customFormat="1" ht="11.25" x14ac:dyDescent="0.2">
      <c r="C183" s="22"/>
      <c r="D183" s="22"/>
      <c r="H183" s="22"/>
      <c r="K183" s="22"/>
    </row>
    <row r="184" spans="2:11" s="68" customFormat="1" ht="11.25" x14ac:dyDescent="0.2">
      <c r="B184" s="97"/>
      <c r="C184" s="98"/>
      <c r="D184" s="22"/>
      <c r="H184" s="22"/>
      <c r="K184" s="22"/>
    </row>
    <row r="185" spans="2:11" s="68" customFormat="1" ht="11.25" x14ac:dyDescent="0.2">
      <c r="B185" s="99"/>
      <c r="C185" s="100"/>
      <c r="D185" s="22"/>
      <c r="H185" s="22"/>
      <c r="K185" s="22"/>
    </row>
    <row r="186" spans="2:11" s="68" customFormat="1" ht="11.25" x14ac:dyDescent="0.2">
      <c r="B186" s="95"/>
      <c r="C186" s="22"/>
      <c r="D186" s="22"/>
      <c r="H186" s="22"/>
      <c r="K186" s="22"/>
    </row>
    <row r="187" spans="2:11" s="68" customFormat="1" ht="11.25" x14ac:dyDescent="0.2">
      <c r="B187" s="101"/>
      <c r="C187" s="91"/>
      <c r="D187" s="22"/>
      <c r="H187" s="22"/>
      <c r="K187" s="22"/>
    </row>
    <row r="188" spans="2:11" s="68" customFormat="1" ht="11.25" x14ac:dyDescent="0.2">
      <c r="B188" s="95"/>
      <c r="C188" s="22"/>
      <c r="D188" s="22"/>
      <c r="H188" s="22"/>
      <c r="K188" s="22"/>
    </row>
    <row r="189" spans="2:11" s="68" customFormat="1" ht="11.25" x14ac:dyDescent="0.2">
      <c r="B189" s="95"/>
      <c r="C189" s="22"/>
      <c r="D189" s="34"/>
      <c r="H189" s="22"/>
      <c r="K189" s="22"/>
    </row>
    <row r="190" spans="2:11" s="68" customFormat="1" ht="11.25" x14ac:dyDescent="0.2">
      <c r="B190" s="101"/>
      <c r="C190" s="91"/>
      <c r="D190" s="22"/>
      <c r="H190" s="22"/>
      <c r="K190" s="22"/>
    </row>
    <row r="191" spans="2:11" s="68" customFormat="1" ht="11.25" x14ac:dyDescent="0.2">
      <c r="B191" s="95"/>
      <c r="C191" s="22"/>
      <c r="D191" s="22"/>
      <c r="H191" s="22"/>
      <c r="K191" s="22"/>
    </row>
    <row r="192" spans="2:11" s="68" customFormat="1" ht="11.25" x14ac:dyDescent="0.2">
      <c r="B192" s="95"/>
      <c r="C192" s="22"/>
      <c r="D192" s="91"/>
      <c r="H192" s="22"/>
      <c r="K192" s="22"/>
    </row>
    <row r="193" spans="2:11" s="68" customFormat="1" ht="11.25" x14ac:dyDescent="0.2">
      <c r="B193" s="95"/>
      <c r="C193" s="22"/>
      <c r="D193" s="22"/>
      <c r="H193" s="22"/>
      <c r="K193" s="22"/>
    </row>
    <row r="194" spans="2:11" s="68" customFormat="1" ht="11.25" x14ac:dyDescent="0.2">
      <c r="B194" s="95"/>
      <c r="C194" s="22"/>
      <c r="D194" s="22"/>
      <c r="H194" s="22"/>
      <c r="K194" s="22"/>
    </row>
    <row r="195" spans="2:11" s="68" customFormat="1" ht="11.25" x14ac:dyDescent="0.2">
      <c r="B195" s="95"/>
      <c r="C195" s="22"/>
      <c r="D195" s="91"/>
      <c r="H195" s="22"/>
      <c r="K195" s="22"/>
    </row>
    <row r="196" spans="2:11" s="68" customFormat="1" ht="11.25" x14ac:dyDescent="0.2">
      <c r="B196" s="95"/>
      <c r="C196" s="22"/>
      <c r="D196" s="22"/>
      <c r="H196" s="22"/>
      <c r="K196" s="22"/>
    </row>
    <row r="197" spans="2:11" s="68" customFormat="1" ht="11.25" x14ac:dyDescent="0.2">
      <c r="B197" s="95"/>
      <c r="C197" s="22"/>
      <c r="D197" s="22"/>
      <c r="H197" s="22"/>
      <c r="K197" s="22"/>
    </row>
    <row r="198" spans="2:11" s="68" customFormat="1" ht="11.25" x14ac:dyDescent="0.2">
      <c r="B198" s="95"/>
      <c r="C198" s="22"/>
      <c r="D198" s="22"/>
      <c r="H198" s="22"/>
      <c r="K198" s="22"/>
    </row>
    <row r="199" spans="2:11" s="68" customFormat="1" ht="11.25" x14ac:dyDescent="0.2">
      <c r="B199" s="95"/>
      <c r="C199" s="22"/>
      <c r="D199" s="22"/>
      <c r="H199" s="22"/>
      <c r="K199" s="22"/>
    </row>
    <row r="200" spans="2:11" s="68" customFormat="1" ht="11.25" x14ac:dyDescent="0.2">
      <c r="B200" s="101"/>
      <c r="C200" s="91"/>
      <c r="D200" s="22"/>
      <c r="H200" s="22"/>
      <c r="K200" s="22"/>
    </row>
    <row r="201" spans="2:11" s="68" customFormat="1" ht="11.25" x14ac:dyDescent="0.2">
      <c r="B201" s="95"/>
      <c r="C201" s="22"/>
      <c r="D201" s="22"/>
      <c r="H201" s="22"/>
      <c r="K201" s="22"/>
    </row>
    <row r="202" spans="2:11" s="68" customFormat="1" ht="11.25" x14ac:dyDescent="0.2">
      <c r="B202" s="95"/>
      <c r="C202" s="22"/>
      <c r="D202" s="22"/>
      <c r="H202" s="22"/>
      <c r="K202" s="22"/>
    </row>
    <row r="203" spans="2:11" s="68" customFormat="1" ht="11.25" x14ac:dyDescent="0.2">
      <c r="B203" s="95"/>
      <c r="C203" s="22"/>
      <c r="D203" s="22"/>
      <c r="H203" s="22"/>
      <c r="K203" s="22"/>
    </row>
    <row r="204" spans="2:11" s="68" customFormat="1" ht="11.25" x14ac:dyDescent="0.2">
      <c r="B204" s="101"/>
      <c r="C204" s="91"/>
      <c r="D204" s="22"/>
      <c r="H204" s="22"/>
      <c r="K204" s="22"/>
    </row>
    <row r="205" spans="2:11" s="68" customFormat="1" ht="11.25" x14ac:dyDescent="0.2">
      <c r="C205" s="22"/>
      <c r="D205" s="91"/>
      <c r="H205" s="22"/>
      <c r="K205" s="22"/>
    </row>
    <row r="206" spans="2:11" s="68" customFormat="1" ht="11.25" x14ac:dyDescent="0.2">
      <c r="C206" s="22"/>
      <c r="D206" s="22"/>
      <c r="H206" s="22"/>
      <c r="K206" s="22"/>
    </row>
    <row r="207" spans="2:11" s="68" customFormat="1" ht="11.25" x14ac:dyDescent="0.2">
      <c r="C207" s="22"/>
      <c r="D207" s="22"/>
      <c r="H207" s="22"/>
      <c r="K207" s="22"/>
    </row>
    <row r="208" spans="2:11" s="68" customFormat="1" ht="11.25" x14ac:dyDescent="0.2">
      <c r="C208" s="22"/>
      <c r="D208" s="22"/>
      <c r="H208" s="22"/>
      <c r="K208" s="22"/>
    </row>
    <row r="209" spans="2:11" s="68" customFormat="1" ht="11.25" x14ac:dyDescent="0.2">
      <c r="B209" s="97"/>
      <c r="C209" s="98"/>
      <c r="D209" s="22"/>
      <c r="H209" s="22"/>
      <c r="K209" s="22"/>
    </row>
    <row r="210" spans="2:11" s="68" customFormat="1" ht="11.25" x14ac:dyDescent="0.2">
      <c r="B210" s="99"/>
      <c r="C210" s="100"/>
      <c r="D210" s="22"/>
      <c r="H210" s="22"/>
      <c r="K210" s="22"/>
    </row>
    <row r="211" spans="2:11" s="68" customFormat="1" ht="11.25" x14ac:dyDescent="0.2">
      <c r="B211" s="101"/>
      <c r="C211" s="91"/>
      <c r="D211" s="91"/>
      <c r="H211" s="22"/>
      <c r="K211" s="22"/>
    </row>
    <row r="212" spans="2:11" s="68" customFormat="1" ht="11.25" x14ac:dyDescent="0.2">
      <c r="B212" s="101"/>
      <c r="C212" s="91"/>
      <c r="D212" s="91"/>
      <c r="H212" s="22"/>
      <c r="K212" s="22"/>
    </row>
    <row r="213" spans="2:11" s="68" customFormat="1" ht="11.25" x14ac:dyDescent="0.2">
      <c r="B213" s="95"/>
      <c r="C213" s="22"/>
      <c r="D213" s="22"/>
      <c r="H213" s="22"/>
      <c r="K213" s="22"/>
    </row>
    <row r="214" spans="2:11" s="68" customFormat="1" ht="11.25" x14ac:dyDescent="0.2">
      <c r="B214" s="95"/>
      <c r="C214" s="22"/>
      <c r="D214" s="22"/>
      <c r="H214" s="22"/>
      <c r="K214" s="22"/>
    </row>
    <row r="215" spans="2:11" s="68" customFormat="1" ht="11.25" x14ac:dyDescent="0.2">
      <c r="B215" s="95"/>
      <c r="C215" s="22"/>
      <c r="D215" s="22"/>
      <c r="H215" s="22"/>
      <c r="K215" s="22"/>
    </row>
    <row r="216" spans="2:11" s="68" customFormat="1" ht="11.25" x14ac:dyDescent="0.2">
      <c r="B216" s="95"/>
      <c r="C216" s="22"/>
      <c r="D216" s="22"/>
      <c r="H216" s="22"/>
      <c r="K216" s="22"/>
    </row>
    <row r="217" spans="2:11" s="68" customFormat="1" ht="11.25" x14ac:dyDescent="0.2">
      <c r="B217" s="95"/>
      <c r="C217" s="22"/>
      <c r="D217" s="22"/>
      <c r="H217" s="22"/>
      <c r="K217" s="22"/>
    </row>
    <row r="218" spans="2:11" s="68" customFormat="1" ht="11.25" x14ac:dyDescent="0.2">
      <c r="B218" s="95"/>
      <c r="C218" s="22"/>
      <c r="D218" s="22"/>
      <c r="H218" s="22"/>
      <c r="K218" s="22"/>
    </row>
    <row r="219" spans="2:11" s="68" customFormat="1" ht="11.25" x14ac:dyDescent="0.2">
      <c r="C219" s="22"/>
      <c r="D219" s="22"/>
      <c r="H219" s="22"/>
      <c r="K219" s="22"/>
    </row>
    <row r="220" spans="2:11" s="68" customFormat="1" ht="11.25" x14ac:dyDescent="0.2">
      <c r="C220" s="22"/>
      <c r="D220" s="22"/>
      <c r="H220" s="22"/>
      <c r="K220" s="22"/>
    </row>
    <row r="221" spans="2:11" s="68" customFormat="1" ht="11.25" x14ac:dyDescent="0.2">
      <c r="C221" s="22"/>
      <c r="D221" s="22"/>
      <c r="H221" s="22"/>
      <c r="K221" s="22"/>
    </row>
    <row r="222" spans="2:11" s="68" customFormat="1" ht="11.25" x14ac:dyDescent="0.2">
      <c r="C222" s="22"/>
      <c r="D222" s="22"/>
      <c r="H222" s="22"/>
      <c r="K222" s="22"/>
    </row>
    <row r="223" spans="2:11" s="68" customFormat="1" ht="11.25" x14ac:dyDescent="0.2">
      <c r="C223" s="22"/>
      <c r="D223" s="22"/>
      <c r="H223" s="22"/>
      <c r="K223" s="22"/>
    </row>
    <row r="224" spans="2:11" s="68" customFormat="1" ht="11.25" x14ac:dyDescent="0.2">
      <c r="C224" s="22"/>
      <c r="D224" s="22"/>
      <c r="H224" s="22"/>
      <c r="K224" s="22"/>
    </row>
    <row r="225" spans="3:11" s="68" customFormat="1" ht="11.25" x14ac:dyDescent="0.2">
      <c r="C225" s="22"/>
      <c r="D225" s="22"/>
      <c r="H225" s="22"/>
      <c r="K225" s="22"/>
    </row>
    <row r="226" spans="3:11" s="68" customFormat="1" ht="11.25" x14ac:dyDescent="0.2">
      <c r="C226" s="22"/>
      <c r="D226" s="22"/>
      <c r="H226" s="22"/>
      <c r="K226" s="22"/>
    </row>
    <row r="227" spans="3:11" s="68" customFormat="1" ht="11.25" x14ac:dyDescent="0.2">
      <c r="C227" s="22"/>
      <c r="D227" s="22"/>
      <c r="H227" s="22"/>
      <c r="K227" s="22"/>
    </row>
    <row r="228" spans="3:11" s="68" customFormat="1" ht="11.25" x14ac:dyDescent="0.2">
      <c r="C228" s="22"/>
      <c r="D228" s="22"/>
      <c r="H228" s="22"/>
      <c r="K228" s="22"/>
    </row>
    <row r="229" spans="3:11" s="68" customFormat="1" ht="11.25" x14ac:dyDescent="0.2">
      <c r="C229" s="22"/>
      <c r="D229" s="22"/>
      <c r="H229" s="22"/>
      <c r="K229" s="22"/>
    </row>
    <row r="230" spans="3:11" s="68" customFormat="1" ht="11.25" x14ac:dyDescent="0.2">
      <c r="C230" s="22"/>
      <c r="D230" s="22"/>
      <c r="H230" s="22"/>
      <c r="K230" s="22"/>
    </row>
    <row r="231" spans="3:11" s="68" customFormat="1" ht="11.25" x14ac:dyDescent="0.2">
      <c r="C231" s="22"/>
      <c r="D231" s="22"/>
      <c r="H231" s="22"/>
      <c r="K231" s="22"/>
    </row>
    <row r="232" spans="3:11" s="68" customFormat="1" ht="11.25" x14ac:dyDescent="0.2">
      <c r="C232" s="22"/>
      <c r="D232" s="22"/>
      <c r="H232" s="22"/>
      <c r="K232" s="22"/>
    </row>
    <row r="233" spans="3:11" s="68" customFormat="1" ht="11.25" x14ac:dyDescent="0.2">
      <c r="C233" s="22"/>
      <c r="D233" s="22"/>
      <c r="H233" s="22"/>
      <c r="K233" s="22"/>
    </row>
    <row r="234" spans="3:11" s="68" customFormat="1" ht="11.25" x14ac:dyDescent="0.2">
      <c r="C234" s="22"/>
      <c r="D234" s="22"/>
      <c r="H234" s="22"/>
      <c r="K234" s="22"/>
    </row>
    <row r="235" spans="3:11" s="68" customFormat="1" ht="11.25" x14ac:dyDescent="0.2">
      <c r="C235" s="22"/>
      <c r="D235" s="22"/>
      <c r="H235" s="22"/>
      <c r="K235" s="22"/>
    </row>
    <row r="236" spans="3:11" s="68" customFormat="1" ht="11.25" x14ac:dyDescent="0.2">
      <c r="C236" s="22"/>
      <c r="D236" s="22"/>
      <c r="H236" s="22"/>
      <c r="K236" s="22"/>
    </row>
    <row r="237" spans="3:11" s="68" customFormat="1" ht="11.25" x14ac:dyDescent="0.2">
      <c r="C237" s="22"/>
      <c r="D237" s="22"/>
      <c r="H237" s="22"/>
      <c r="K237" s="22"/>
    </row>
    <row r="238" spans="3:11" s="68" customFormat="1" ht="11.25" x14ac:dyDescent="0.2">
      <c r="C238" s="22"/>
      <c r="D238" s="22"/>
      <c r="H238" s="22"/>
      <c r="K238" s="22"/>
    </row>
    <row r="239" spans="3:11" s="68" customFormat="1" ht="11.25" x14ac:dyDescent="0.2">
      <c r="C239" s="22"/>
      <c r="D239" s="22"/>
      <c r="H239" s="22"/>
      <c r="K239" s="22"/>
    </row>
    <row r="240" spans="3:11" s="68" customFormat="1" ht="11.25" x14ac:dyDescent="0.2">
      <c r="C240" s="22"/>
      <c r="D240" s="22"/>
      <c r="H240" s="22"/>
      <c r="K240" s="22"/>
    </row>
    <row r="241" spans="3:11" s="68" customFormat="1" ht="11.25" x14ac:dyDescent="0.2">
      <c r="C241" s="22"/>
      <c r="D241" s="22"/>
      <c r="H241" s="22"/>
      <c r="K241" s="22"/>
    </row>
    <row r="242" spans="3:11" s="68" customFormat="1" ht="11.25" x14ac:dyDescent="0.2">
      <c r="C242" s="22"/>
      <c r="D242" s="22"/>
      <c r="H242" s="22"/>
      <c r="K242" s="22"/>
    </row>
    <row r="243" spans="3:11" s="68" customFormat="1" ht="11.25" x14ac:dyDescent="0.2">
      <c r="C243" s="22"/>
      <c r="D243" s="22"/>
      <c r="H243" s="22"/>
      <c r="K243" s="22"/>
    </row>
    <row r="244" spans="3:11" s="68" customFormat="1" ht="11.25" x14ac:dyDescent="0.2">
      <c r="C244" s="22"/>
      <c r="D244" s="22"/>
      <c r="H244" s="22"/>
      <c r="K244" s="22"/>
    </row>
    <row r="245" spans="3:11" s="68" customFormat="1" ht="11.25" x14ac:dyDescent="0.2">
      <c r="C245" s="22"/>
      <c r="D245" s="22"/>
      <c r="H245" s="22"/>
      <c r="K245" s="22"/>
    </row>
    <row r="246" spans="3:11" s="68" customFormat="1" ht="11.25" x14ac:dyDescent="0.2">
      <c r="C246" s="22"/>
      <c r="D246" s="22"/>
      <c r="H246" s="22"/>
      <c r="K246" s="22"/>
    </row>
    <row r="247" spans="3:11" s="68" customFormat="1" ht="11.25" x14ac:dyDescent="0.2">
      <c r="C247" s="22"/>
      <c r="D247" s="22"/>
      <c r="H247" s="22"/>
      <c r="K247" s="22"/>
    </row>
    <row r="248" spans="3:11" s="68" customFormat="1" ht="11.25" x14ac:dyDescent="0.2">
      <c r="C248" s="22"/>
      <c r="D248" s="22"/>
      <c r="H248" s="22"/>
      <c r="K248" s="22"/>
    </row>
    <row r="249" spans="3:11" s="68" customFormat="1" ht="11.25" x14ac:dyDescent="0.2">
      <c r="C249" s="22"/>
      <c r="D249" s="22"/>
      <c r="H249" s="22"/>
      <c r="K249" s="22"/>
    </row>
    <row r="250" spans="3:11" s="68" customFormat="1" ht="11.25" x14ac:dyDescent="0.2">
      <c r="C250" s="22"/>
      <c r="D250" s="22"/>
      <c r="H250" s="22"/>
      <c r="K250" s="22"/>
    </row>
    <row r="251" spans="3:11" s="68" customFormat="1" ht="11.25" x14ac:dyDescent="0.2">
      <c r="C251" s="22"/>
      <c r="D251" s="22"/>
      <c r="H251" s="22"/>
      <c r="K251" s="22"/>
    </row>
    <row r="252" spans="3:11" s="68" customFormat="1" ht="11.25" x14ac:dyDescent="0.2">
      <c r="C252" s="22"/>
      <c r="D252" s="22"/>
      <c r="H252" s="22"/>
      <c r="K252" s="22"/>
    </row>
    <row r="253" spans="3:11" s="68" customFormat="1" ht="11.25" x14ac:dyDescent="0.2">
      <c r="C253" s="22"/>
      <c r="D253" s="22"/>
      <c r="H253" s="22"/>
      <c r="K253" s="22"/>
    </row>
    <row r="254" spans="3:11" s="68" customFormat="1" ht="11.25" x14ac:dyDescent="0.2">
      <c r="C254" s="22"/>
      <c r="D254" s="22"/>
      <c r="H254" s="22"/>
      <c r="K254" s="22"/>
    </row>
    <row r="255" spans="3:11" s="68" customFormat="1" ht="11.25" x14ac:dyDescent="0.2">
      <c r="C255" s="22"/>
      <c r="D255" s="22"/>
      <c r="H255" s="22"/>
      <c r="K255" s="22"/>
    </row>
    <row r="256" spans="3:11" s="68" customFormat="1" ht="11.25" x14ac:dyDescent="0.2">
      <c r="C256" s="22"/>
      <c r="D256" s="22"/>
      <c r="H256" s="22"/>
      <c r="K256" s="22"/>
    </row>
    <row r="257" spans="3:11" s="68" customFormat="1" ht="11.25" x14ac:dyDescent="0.2">
      <c r="C257" s="22"/>
      <c r="D257" s="22"/>
      <c r="H257" s="22"/>
      <c r="K257" s="22"/>
    </row>
    <row r="258" spans="3:11" s="68" customFormat="1" ht="11.25" x14ac:dyDescent="0.2">
      <c r="C258" s="22"/>
      <c r="D258" s="22"/>
      <c r="H258" s="22"/>
      <c r="K258" s="22"/>
    </row>
    <row r="259" spans="3:11" s="68" customFormat="1" ht="11.25" x14ac:dyDescent="0.2">
      <c r="C259" s="22"/>
      <c r="D259" s="22"/>
      <c r="H259" s="22"/>
      <c r="K259" s="22"/>
    </row>
    <row r="260" spans="3:11" s="68" customFormat="1" ht="11.25" x14ac:dyDescent="0.2">
      <c r="C260" s="22"/>
      <c r="D260" s="22"/>
      <c r="H260" s="22"/>
      <c r="K260" s="22"/>
    </row>
    <row r="261" spans="3:11" s="68" customFormat="1" ht="11.25" x14ac:dyDescent="0.2">
      <c r="C261" s="22"/>
      <c r="D261" s="22"/>
      <c r="H261" s="22"/>
      <c r="K261" s="22"/>
    </row>
    <row r="262" spans="3:11" s="68" customFormat="1" ht="11.25" x14ac:dyDescent="0.2">
      <c r="C262" s="22"/>
      <c r="D262" s="22"/>
      <c r="H262" s="22"/>
      <c r="K262" s="22"/>
    </row>
    <row r="263" spans="3:11" s="68" customFormat="1" ht="11.25" x14ac:dyDescent="0.2">
      <c r="C263" s="22"/>
      <c r="D263" s="22"/>
      <c r="H263" s="22"/>
      <c r="K263" s="22"/>
    </row>
    <row r="264" spans="3:11" s="68" customFormat="1" ht="11.25" x14ac:dyDescent="0.2">
      <c r="C264" s="22"/>
      <c r="D264" s="22"/>
      <c r="H264" s="22"/>
      <c r="K264" s="22"/>
    </row>
    <row r="265" spans="3:11" s="68" customFormat="1" ht="11.25" x14ac:dyDescent="0.2">
      <c r="C265" s="22"/>
      <c r="D265" s="22"/>
      <c r="H265" s="22"/>
      <c r="K265" s="22"/>
    </row>
    <row r="266" spans="3:11" s="68" customFormat="1" ht="11.25" x14ac:dyDescent="0.2">
      <c r="C266" s="22"/>
      <c r="D266" s="22"/>
      <c r="H266" s="22"/>
      <c r="K266" s="22"/>
    </row>
    <row r="267" spans="3:11" s="68" customFormat="1" ht="11.25" x14ac:dyDescent="0.2">
      <c r="C267" s="22"/>
      <c r="D267" s="22"/>
      <c r="H267" s="22"/>
      <c r="K267" s="22"/>
    </row>
    <row r="268" spans="3:11" s="68" customFormat="1" ht="11.25" x14ac:dyDescent="0.2">
      <c r="C268" s="22"/>
      <c r="D268" s="22"/>
      <c r="H268" s="22"/>
      <c r="K268" s="22"/>
    </row>
    <row r="269" spans="3:11" s="68" customFormat="1" ht="11.25" x14ac:dyDescent="0.2">
      <c r="C269" s="22"/>
      <c r="D269" s="22"/>
      <c r="H269" s="22"/>
      <c r="K269" s="22"/>
    </row>
    <row r="270" spans="3:11" s="68" customFormat="1" ht="11.25" x14ac:dyDescent="0.2">
      <c r="C270" s="22"/>
      <c r="D270" s="22"/>
      <c r="H270" s="22"/>
      <c r="K270" s="22"/>
    </row>
    <row r="271" spans="3:11" s="68" customFormat="1" ht="11.25" x14ac:dyDescent="0.2">
      <c r="C271" s="22"/>
      <c r="D271" s="22"/>
      <c r="H271" s="22"/>
      <c r="K271" s="22"/>
    </row>
    <row r="272" spans="3:11" s="68" customFormat="1" ht="11.25" x14ac:dyDescent="0.2">
      <c r="C272" s="22"/>
      <c r="D272" s="22"/>
      <c r="H272" s="22"/>
      <c r="K272" s="22"/>
    </row>
    <row r="273" spans="3:11" s="68" customFormat="1" ht="11.25" x14ac:dyDescent="0.2">
      <c r="C273" s="22"/>
      <c r="D273" s="22"/>
      <c r="H273" s="22"/>
      <c r="K273" s="22"/>
    </row>
    <row r="274" spans="3:11" s="68" customFormat="1" ht="11.25" x14ac:dyDescent="0.2">
      <c r="C274" s="22"/>
      <c r="D274" s="22"/>
      <c r="H274" s="22"/>
      <c r="K274" s="22"/>
    </row>
    <row r="275" spans="3:11" s="68" customFormat="1" ht="11.25" x14ac:dyDescent="0.2">
      <c r="C275" s="22"/>
      <c r="D275" s="22"/>
      <c r="H275" s="22"/>
      <c r="K275" s="22"/>
    </row>
    <row r="276" spans="3:11" s="68" customFormat="1" ht="11.25" x14ac:dyDescent="0.2">
      <c r="C276" s="22"/>
      <c r="D276" s="22"/>
      <c r="H276" s="22"/>
      <c r="K276" s="22"/>
    </row>
    <row r="277" spans="3:11" s="68" customFormat="1" ht="11.25" x14ac:dyDescent="0.2">
      <c r="C277" s="22"/>
      <c r="D277" s="22"/>
      <c r="H277" s="22"/>
      <c r="K277" s="22"/>
    </row>
    <row r="278" spans="3:11" s="68" customFormat="1" ht="11.25" x14ac:dyDescent="0.2">
      <c r="C278" s="22"/>
      <c r="D278" s="22"/>
      <c r="H278" s="22"/>
      <c r="K278" s="22"/>
    </row>
    <row r="279" spans="3:11" s="68" customFormat="1" ht="11.25" x14ac:dyDescent="0.2">
      <c r="C279" s="22"/>
      <c r="D279" s="22"/>
      <c r="H279" s="22"/>
      <c r="K279" s="22"/>
    </row>
    <row r="280" spans="3:11" s="68" customFormat="1" ht="11.25" x14ac:dyDescent="0.2">
      <c r="C280" s="22"/>
      <c r="D280" s="22"/>
      <c r="H280" s="22"/>
      <c r="K280" s="22"/>
    </row>
    <row r="281" spans="3:11" s="68" customFormat="1" ht="11.25" x14ac:dyDescent="0.2">
      <c r="C281" s="22"/>
      <c r="D281" s="22"/>
      <c r="H281" s="22"/>
      <c r="K281" s="22"/>
    </row>
    <row r="282" spans="3:11" s="68" customFormat="1" ht="11.25" x14ac:dyDescent="0.2">
      <c r="C282" s="22"/>
      <c r="D282" s="22"/>
      <c r="H282" s="22"/>
      <c r="K282" s="22"/>
    </row>
    <row r="283" spans="3:11" s="68" customFormat="1" ht="11.25" x14ac:dyDescent="0.2">
      <c r="C283" s="22"/>
      <c r="D283" s="22"/>
      <c r="H283" s="22"/>
      <c r="K283" s="22"/>
    </row>
    <row r="284" spans="3:11" s="68" customFormat="1" ht="11.25" x14ac:dyDescent="0.2">
      <c r="C284" s="22"/>
      <c r="D284" s="22"/>
      <c r="H284" s="22"/>
      <c r="K284" s="22"/>
    </row>
    <row r="285" spans="3:11" s="68" customFormat="1" ht="11.25" x14ac:dyDescent="0.2">
      <c r="C285" s="22"/>
      <c r="D285" s="22"/>
      <c r="H285" s="22"/>
      <c r="K285" s="22"/>
    </row>
    <row r="286" spans="3:11" s="68" customFormat="1" ht="11.25" x14ac:dyDescent="0.2">
      <c r="C286" s="22"/>
      <c r="D286" s="22"/>
      <c r="H286" s="22"/>
      <c r="K286" s="22"/>
    </row>
    <row r="287" spans="3:11" s="68" customFormat="1" ht="11.25" x14ac:dyDescent="0.2">
      <c r="C287" s="22"/>
      <c r="D287" s="22"/>
      <c r="H287" s="22"/>
      <c r="K287" s="22"/>
    </row>
    <row r="288" spans="3:11" s="68" customFormat="1" ht="11.25" x14ac:dyDescent="0.2">
      <c r="C288" s="22"/>
      <c r="D288" s="22"/>
      <c r="H288" s="22"/>
      <c r="K288" s="22"/>
    </row>
    <row r="289" spans="3:11" s="68" customFormat="1" ht="11.25" x14ac:dyDescent="0.2">
      <c r="C289" s="22"/>
      <c r="D289" s="22"/>
      <c r="H289" s="22"/>
      <c r="K289" s="22"/>
    </row>
    <row r="290" spans="3:11" s="68" customFormat="1" ht="11.25" x14ac:dyDescent="0.2">
      <c r="C290" s="22"/>
      <c r="D290" s="22"/>
      <c r="H290" s="22"/>
      <c r="K290" s="22"/>
    </row>
    <row r="291" spans="3:11" s="68" customFormat="1" ht="11.25" x14ac:dyDescent="0.2">
      <c r="C291" s="22"/>
      <c r="D291" s="22"/>
      <c r="H291" s="22"/>
      <c r="K291" s="22"/>
    </row>
    <row r="292" spans="3:11" s="68" customFormat="1" ht="11.25" x14ac:dyDescent="0.2">
      <c r="C292" s="22"/>
      <c r="D292" s="22"/>
      <c r="H292" s="22"/>
      <c r="K292" s="22"/>
    </row>
    <row r="293" spans="3:11" s="68" customFormat="1" ht="11.25" x14ac:dyDescent="0.2">
      <c r="C293" s="22"/>
      <c r="D293" s="22"/>
      <c r="H293" s="22"/>
      <c r="K293" s="22"/>
    </row>
    <row r="294" spans="3:11" s="68" customFormat="1" ht="11.25" x14ac:dyDescent="0.2">
      <c r="C294" s="22"/>
      <c r="D294" s="22"/>
      <c r="H294" s="22"/>
      <c r="K294" s="22"/>
    </row>
    <row r="295" spans="3:11" s="68" customFormat="1" ht="11.25" x14ac:dyDescent="0.2">
      <c r="C295" s="22"/>
      <c r="D295" s="22"/>
      <c r="H295" s="22"/>
      <c r="K295" s="22"/>
    </row>
    <row r="296" spans="3:11" s="68" customFormat="1" ht="11.25" x14ac:dyDescent="0.2">
      <c r="C296" s="22"/>
      <c r="D296" s="22"/>
      <c r="H296" s="22"/>
      <c r="K296" s="22"/>
    </row>
    <row r="297" spans="3:11" s="68" customFormat="1" ht="11.25" x14ac:dyDescent="0.2">
      <c r="C297" s="22"/>
      <c r="D297" s="22"/>
      <c r="H297" s="22"/>
      <c r="K297" s="22"/>
    </row>
    <row r="298" spans="3:11" s="68" customFormat="1" ht="11.25" x14ac:dyDescent="0.2">
      <c r="C298" s="22"/>
      <c r="D298" s="22"/>
      <c r="H298" s="22"/>
      <c r="K298" s="22"/>
    </row>
    <row r="299" spans="3:11" s="68" customFormat="1" ht="11.25" x14ac:dyDescent="0.2">
      <c r="C299" s="22"/>
      <c r="D299" s="22"/>
      <c r="H299" s="22"/>
      <c r="K299" s="22"/>
    </row>
    <row r="300" spans="3:11" s="68" customFormat="1" ht="11.25" x14ac:dyDescent="0.2">
      <c r="C300" s="22"/>
      <c r="D300" s="22"/>
      <c r="H300" s="22"/>
      <c r="K300" s="22"/>
    </row>
    <row r="301" spans="3:11" s="68" customFormat="1" ht="11.25" x14ac:dyDescent="0.2">
      <c r="C301" s="22"/>
      <c r="D301" s="22"/>
      <c r="H301" s="22"/>
      <c r="K301" s="22"/>
    </row>
    <row r="302" spans="3:11" s="68" customFormat="1" ht="11.25" x14ac:dyDescent="0.2">
      <c r="C302" s="22"/>
      <c r="D302" s="22"/>
      <c r="H302" s="22"/>
      <c r="K302" s="22"/>
    </row>
    <row r="303" spans="3:11" s="68" customFormat="1" ht="11.25" x14ac:dyDescent="0.2">
      <c r="C303" s="22"/>
      <c r="D303" s="22"/>
      <c r="H303" s="22"/>
      <c r="K303" s="22"/>
    </row>
    <row r="304" spans="3:11" s="68" customFormat="1" ht="11.25" x14ac:dyDescent="0.2">
      <c r="C304" s="22"/>
      <c r="D304" s="22"/>
      <c r="H304" s="22"/>
      <c r="K304" s="22"/>
    </row>
    <row r="305" spans="3:11" s="68" customFormat="1" ht="11.25" x14ac:dyDescent="0.2">
      <c r="C305" s="22"/>
      <c r="D305" s="22"/>
      <c r="H305" s="22"/>
      <c r="K305" s="22"/>
    </row>
    <row r="306" spans="3:11" s="68" customFormat="1" ht="11.25" x14ac:dyDescent="0.2">
      <c r="C306" s="22"/>
      <c r="D306" s="22"/>
      <c r="H306" s="22"/>
      <c r="K306" s="22"/>
    </row>
    <row r="307" spans="3:11" s="68" customFormat="1" ht="11.25" x14ac:dyDescent="0.2">
      <c r="C307" s="22"/>
      <c r="D307" s="22"/>
      <c r="H307" s="22"/>
      <c r="K307" s="22"/>
    </row>
    <row r="308" spans="3:11" s="68" customFormat="1" ht="11.25" x14ac:dyDescent="0.2">
      <c r="C308" s="22"/>
      <c r="D308" s="22"/>
      <c r="H308" s="22"/>
      <c r="K308" s="22"/>
    </row>
    <row r="309" spans="3:11" s="68" customFormat="1" ht="11.25" x14ac:dyDescent="0.2">
      <c r="C309" s="22"/>
      <c r="D309" s="22"/>
      <c r="H309" s="22"/>
      <c r="K309" s="22"/>
    </row>
    <row r="310" spans="3:11" s="68" customFormat="1" ht="11.25" x14ac:dyDescent="0.2">
      <c r="C310" s="22"/>
      <c r="D310" s="22"/>
      <c r="H310" s="22"/>
      <c r="K310" s="22"/>
    </row>
    <row r="311" spans="3:11" s="68" customFormat="1" ht="11.25" x14ac:dyDescent="0.2">
      <c r="C311" s="22"/>
      <c r="D311" s="22"/>
      <c r="H311" s="22"/>
      <c r="K311" s="22"/>
    </row>
    <row r="312" spans="3:11" s="68" customFormat="1" ht="11.25" x14ac:dyDescent="0.2">
      <c r="C312" s="22"/>
      <c r="D312" s="22"/>
      <c r="H312" s="22"/>
      <c r="K312" s="22"/>
    </row>
    <row r="313" spans="3:11" s="68" customFormat="1" ht="11.25" x14ac:dyDescent="0.2">
      <c r="C313" s="22"/>
      <c r="D313" s="22"/>
      <c r="H313" s="22"/>
      <c r="K313" s="22"/>
    </row>
    <row r="314" spans="3:11" s="68" customFormat="1" ht="11.25" x14ac:dyDescent="0.2">
      <c r="C314" s="22"/>
      <c r="D314" s="22"/>
      <c r="H314" s="22"/>
      <c r="K314" s="22"/>
    </row>
    <row r="315" spans="3:11" s="68" customFormat="1" ht="11.25" x14ac:dyDescent="0.2">
      <c r="C315" s="22"/>
      <c r="D315" s="22"/>
      <c r="H315" s="22"/>
      <c r="K315" s="22"/>
    </row>
    <row r="316" spans="3:11" s="68" customFormat="1" ht="11.25" x14ac:dyDescent="0.2">
      <c r="C316" s="22"/>
      <c r="D316" s="22"/>
      <c r="H316" s="22"/>
      <c r="K316" s="22"/>
    </row>
    <row r="317" spans="3:11" s="68" customFormat="1" ht="11.25" x14ac:dyDescent="0.2">
      <c r="C317" s="22"/>
      <c r="D317" s="22"/>
      <c r="H317" s="22"/>
      <c r="K317" s="22"/>
    </row>
    <row r="318" spans="3:11" s="68" customFormat="1" ht="11.25" x14ac:dyDescent="0.2">
      <c r="C318" s="22"/>
      <c r="D318" s="22"/>
      <c r="H318" s="22"/>
      <c r="K318" s="22"/>
    </row>
    <row r="319" spans="3:11" s="68" customFormat="1" ht="11.25" x14ac:dyDescent="0.2">
      <c r="C319" s="22"/>
      <c r="D319" s="22"/>
      <c r="H319" s="22"/>
      <c r="K319" s="22"/>
    </row>
    <row r="320" spans="3:11" s="68" customFormat="1" ht="11.25" x14ac:dyDescent="0.2">
      <c r="C320" s="22"/>
      <c r="D320" s="22"/>
      <c r="H320" s="22"/>
      <c r="K320" s="22"/>
    </row>
    <row r="321" spans="3:11" s="68" customFormat="1" ht="11.25" x14ac:dyDescent="0.2">
      <c r="C321" s="22"/>
      <c r="D321" s="22"/>
      <c r="H321" s="22"/>
      <c r="K321" s="22"/>
    </row>
    <row r="322" spans="3:11" s="68" customFormat="1" ht="11.25" x14ac:dyDescent="0.2">
      <c r="C322" s="22"/>
      <c r="D322" s="22"/>
      <c r="H322" s="22"/>
      <c r="K322" s="22"/>
    </row>
    <row r="323" spans="3:11" s="68" customFormat="1" ht="11.25" x14ac:dyDescent="0.2">
      <c r="C323" s="22"/>
      <c r="D323" s="22"/>
      <c r="H323" s="22"/>
      <c r="K323" s="22"/>
    </row>
    <row r="324" spans="3:11" s="68" customFormat="1" ht="11.25" x14ac:dyDescent="0.2">
      <c r="C324" s="22"/>
      <c r="D324" s="22"/>
      <c r="H324" s="22"/>
      <c r="K324" s="22"/>
    </row>
    <row r="325" spans="3:11" s="68" customFormat="1" ht="11.25" x14ac:dyDescent="0.2">
      <c r="C325" s="22"/>
      <c r="D325" s="22"/>
      <c r="H325" s="22"/>
      <c r="K325" s="22"/>
    </row>
    <row r="326" spans="3:11" s="68" customFormat="1" ht="11.25" x14ac:dyDescent="0.2">
      <c r="C326" s="22"/>
      <c r="D326" s="22"/>
      <c r="H326" s="22"/>
      <c r="K326" s="22"/>
    </row>
    <row r="327" spans="3:11" s="68" customFormat="1" ht="11.25" x14ac:dyDescent="0.2">
      <c r="C327" s="22"/>
      <c r="D327" s="22"/>
      <c r="H327" s="22"/>
      <c r="K327" s="22"/>
    </row>
    <row r="328" spans="3:11" s="68" customFormat="1" ht="11.25" x14ac:dyDescent="0.2">
      <c r="C328" s="22"/>
      <c r="D328" s="22"/>
      <c r="H328" s="22"/>
      <c r="K328" s="22"/>
    </row>
    <row r="329" spans="3:11" s="68" customFormat="1" ht="11.25" x14ac:dyDescent="0.2">
      <c r="C329" s="22"/>
      <c r="D329" s="22"/>
      <c r="H329" s="22"/>
      <c r="K329" s="22"/>
    </row>
    <row r="330" spans="3:11" s="68" customFormat="1" ht="11.25" x14ac:dyDescent="0.2">
      <c r="C330" s="22"/>
      <c r="D330" s="22"/>
      <c r="H330" s="22"/>
      <c r="K330" s="22"/>
    </row>
    <row r="331" spans="3:11" s="68" customFormat="1" ht="11.25" x14ac:dyDescent="0.2">
      <c r="C331" s="22"/>
      <c r="D331" s="22"/>
      <c r="H331" s="22"/>
      <c r="K331" s="22"/>
    </row>
    <row r="332" spans="3:11" s="68" customFormat="1" ht="11.25" x14ac:dyDescent="0.2">
      <c r="C332" s="22"/>
      <c r="D332" s="22"/>
      <c r="H332" s="22"/>
      <c r="K332" s="22"/>
    </row>
    <row r="333" spans="3:11" s="68" customFormat="1" ht="11.25" x14ac:dyDescent="0.2">
      <c r="C333" s="22"/>
      <c r="D333" s="22"/>
      <c r="H333" s="22"/>
      <c r="K333" s="22"/>
    </row>
    <row r="334" spans="3:11" s="68" customFormat="1" ht="11.25" x14ac:dyDescent="0.2">
      <c r="C334" s="22"/>
      <c r="D334" s="22"/>
      <c r="H334" s="22"/>
      <c r="K334" s="22"/>
    </row>
    <row r="335" spans="3:11" s="68" customFormat="1" ht="11.25" x14ac:dyDescent="0.2">
      <c r="C335" s="22"/>
      <c r="D335" s="22"/>
      <c r="H335" s="22"/>
      <c r="K335" s="22"/>
    </row>
    <row r="336" spans="3:11" s="68" customFormat="1" ht="11.25" x14ac:dyDescent="0.2">
      <c r="C336" s="22"/>
      <c r="D336" s="22"/>
      <c r="H336" s="22"/>
      <c r="K336" s="22"/>
    </row>
    <row r="337" spans="3:11" s="68" customFormat="1" ht="11.25" x14ac:dyDescent="0.2">
      <c r="C337" s="22"/>
      <c r="D337" s="22"/>
      <c r="H337" s="22"/>
      <c r="K337" s="22"/>
    </row>
    <row r="338" spans="3:11" s="68" customFormat="1" ht="11.25" x14ac:dyDescent="0.2">
      <c r="C338" s="22"/>
      <c r="D338" s="22"/>
      <c r="H338" s="22"/>
      <c r="K338" s="22"/>
    </row>
    <row r="339" spans="3:11" s="68" customFormat="1" ht="11.25" x14ac:dyDescent="0.2">
      <c r="C339" s="22"/>
      <c r="D339" s="22"/>
      <c r="H339" s="22"/>
      <c r="K339" s="22"/>
    </row>
    <row r="340" spans="3:11" s="68" customFormat="1" ht="11.25" x14ac:dyDescent="0.2">
      <c r="C340" s="22"/>
      <c r="D340" s="22"/>
      <c r="H340" s="22"/>
      <c r="K340" s="22"/>
    </row>
    <row r="341" spans="3:11" s="68" customFormat="1" ht="11.25" x14ac:dyDescent="0.2">
      <c r="C341" s="22"/>
      <c r="D341" s="22"/>
      <c r="H341" s="22"/>
      <c r="K341" s="22"/>
    </row>
    <row r="342" spans="3:11" s="68" customFormat="1" ht="11.25" x14ac:dyDescent="0.2">
      <c r="C342" s="22"/>
      <c r="D342" s="22"/>
      <c r="H342" s="22"/>
      <c r="K342" s="22"/>
    </row>
    <row r="343" spans="3:11" s="68" customFormat="1" ht="11.25" x14ac:dyDescent="0.2">
      <c r="C343" s="22"/>
      <c r="D343" s="22"/>
      <c r="H343" s="22"/>
      <c r="K343" s="22"/>
    </row>
    <row r="344" spans="3:11" s="68" customFormat="1" ht="11.25" x14ac:dyDescent="0.2">
      <c r="C344" s="22"/>
      <c r="D344" s="22"/>
      <c r="H344" s="22"/>
      <c r="K344" s="22"/>
    </row>
    <row r="345" spans="3:11" s="68" customFormat="1" ht="11.25" x14ac:dyDescent="0.2">
      <c r="C345" s="22"/>
      <c r="D345" s="22"/>
      <c r="H345" s="22"/>
      <c r="K345" s="22"/>
    </row>
    <row r="346" spans="3:11" s="68" customFormat="1" ht="11.25" x14ac:dyDescent="0.2">
      <c r="C346" s="22"/>
      <c r="D346" s="22"/>
      <c r="H346" s="22"/>
      <c r="K346" s="22"/>
    </row>
    <row r="347" spans="3:11" s="68" customFormat="1" ht="11.25" x14ac:dyDescent="0.2">
      <c r="C347" s="22"/>
      <c r="D347" s="22"/>
      <c r="H347" s="22"/>
      <c r="K347" s="22"/>
    </row>
    <row r="348" spans="3:11" s="68" customFormat="1" ht="11.25" x14ac:dyDescent="0.2">
      <c r="C348" s="22"/>
      <c r="D348" s="22"/>
      <c r="H348" s="22"/>
      <c r="K348" s="22"/>
    </row>
    <row r="349" spans="3:11" s="68" customFormat="1" ht="11.25" x14ac:dyDescent="0.2">
      <c r="C349" s="22"/>
      <c r="D349" s="22"/>
      <c r="H349" s="22"/>
      <c r="K349" s="22"/>
    </row>
    <row r="350" spans="3:11" s="68" customFormat="1" ht="11.25" x14ac:dyDescent="0.2">
      <c r="C350" s="22"/>
      <c r="D350" s="22"/>
      <c r="H350" s="22"/>
      <c r="K350" s="22"/>
    </row>
    <row r="351" spans="3:11" s="68" customFormat="1" ht="11.25" x14ac:dyDescent="0.2">
      <c r="C351" s="22"/>
      <c r="D351" s="22"/>
      <c r="H351" s="22"/>
      <c r="K351" s="22"/>
    </row>
    <row r="352" spans="3:11" s="68" customFormat="1" ht="11.25" x14ac:dyDescent="0.2">
      <c r="C352" s="22"/>
      <c r="D352" s="22"/>
      <c r="H352" s="22"/>
      <c r="K352" s="22"/>
    </row>
    <row r="353" spans="3:11" s="68" customFormat="1" ht="11.25" x14ac:dyDescent="0.2">
      <c r="C353" s="22"/>
      <c r="D353" s="22"/>
      <c r="H353" s="22"/>
      <c r="K353" s="22"/>
    </row>
    <row r="354" spans="3:11" s="68" customFormat="1" ht="11.25" x14ac:dyDescent="0.2">
      <c r="C354" s="22"/>
      <c r="D354" s="22"/>
      <c r="H354" s="22"/>
      <c r="K354" s="22"/>
    </row>
    <row r="355" spans="3:11" s="68" customFormat="1" ht="11.25" x14ac:dyDescent="0.2">
      <c r="C355" s="22"/>
      <c r="D355" s="22"/>
      <c r="H355" s="22"/>
      <c r="K355" s="22"/>
    </row>
    <row r="356" spans="3:11" s="68" customFormat="1" ht="11.25" x14ac:dyDescent="0.2">
      <c r="C356" s="22"/>
      <c r="D356" s="22"/>
      <c r="H356" s="22"/>
      <c r="K356" s="22"/>
    </row>
    <row r="357" spans="3:11" s="68" customFormat="1" ht="11.25" x14ac:dyDescent="0.2">
      <c r="C357" s="22"/>
      <c r="D357" s="22"/>
      <c r="H357" s="22"/>
      <c r="K357" s="22"/>
    </row>
    <row r="358" spans="3:11" s="68" customFormat="1" ht="11.25" x14ac:dyDescent="0.2">
      <c r="C358" s="22"/>
      <c r="D358" s="22"/>
      <c r="H358" s="22"/>
      <c r="K358" s="22"/>
    </row>
    <row r="359" spans="3:11" s="68" customFormat="1" ht="11.25" x14ac:dyDescent="0.2">
      <c r="C359" s="22"/>
      <c r="D359" s="22"/>
      <c r="H359" s="22"/>
      <c r="K359" s="22"/>
    </row>
    <row r="360" spans="3:11" s="68" customFormat="1" ht="11.25" x14ac:dyDescent="0.2">
      <c r="C360" s="22"/>
      <c r="D360" s="22"/>
      <c r="H360" s="22"/>
      <c r="K360" s="22"/>
    </row>
    <row r="361" spans="3:11" s="68" customFormat="1" ht="11.25" x14ac:dyDescent="0.2">
      <c r="C361" s="22"/>
      <c r="D361" s="22"/>
      <c r="H361" s="22"/>
      <c r="K361" s="22"/>
    </row>
    <row r="362" spans="3:11" s="68" customFormat="1" ht="11.25" x14ac:dyDescent="0.2">
      <c r="C362" s="22"/>
      <c r="D362" s="22"/>
      <c r="H362" s="22"/>
      <c r="K362" s="22"/>
    </row>
    <row r="363" spans="3:11" s="68" customFormat="1" ht="11.25" x14ac:dyDescent="0.2">
      <c r="C363" s="22"/>
      <c r="D363" s="22"/>
      <c r="H363" s="22"/>
      <c r="K363" s="22"/>
    </row>
    <row r="364" spans="3:11" s="68" customFormat="1" ht="11.25" x14ac:dyDescent="0.2">
      <c r="C364" s="22"/>
      <c r="D364" s="22"/>
      <c r="H364" s="22"/>
      <c r="K364" s="22"/>
    </row>
    <row r="365" spans="3:11" s="68" customFormat="1" ht="11.25" x14ac:dyDescent="0.2">
      <c r="C365" s="22"/>
      <c r="D365" s="22"/>
      <c r="H365" s="22"/>
      <c r="K365" s="22"/>
    </row>
    <row r="366" spans="3:11" s="68" customFormat="1" ht="11.25" x14ac:dyDescent="0.2">
      <c r="C366" s="22"/>
      <c r="D366" s="22"/>
      <c r="H366" s="22"/>
      <c r="K366" s="22"/>
    </row>
    <row r="367" spans="3:11" s="68" customFormat="1" ht="11.25" x14ac:dyDescent="0.2">
      <c r="C367" s="22"/>
      <c r="D367" s="22"/>
      <c r="H367" s="22"/>
      <c r="K367" s="22"/>
    </row>
    <row r="368" spans="3:11" s="68" customFormat="1" ht="11.25" x14ac:dyDescent="0.2">
      <c r="C368" s="22"/>
      <c r="D368" s="22"/>
      <c r="H368" s="22"/>
      <c r="K368" s="22"/>
    </row>
    <row r="369" spans="3:11" s="68" customFormat="1" ht="11.25" x14ac:dyDescent="0.2">
      <c r="C369" s="22"/>
      <c r="D369" s="22"/>
      <c r="H369" s="22"/>
      <c r="K369" s="22"/>
    </row>
    <row r="370" spans="3:11" s="68" customFormat="1" ht="11.25" x14ac:dyDescent="0.2">
      <c r="C370" s="22"/>
      <c r="D370" s="22"/>
      <c r="H370" s="22"/>
      <c r="K370" s="22"/>
    </row>
    <row r="371" spans="3:11" s="68" customFormat="1" ht="11.25" x14ac:dyDescent="0.2">
      <c r="C371" s="22"/>
      <c r="D371" s="22"/>
      <c r="H371" s="22"/>
      <c r="K371" s="22"/>
    </row>
    <row r="372" spans="3:11" s="68" customFormat="1" ht="11.25" x14ac:dyDescent="0.2">
      <c r="C372" s="22"/>
      <c r="D372" s="22"/>
      <c r="H372" s="22"/>
      <c r="K372" s="22"/>
    </row>
    <row r="373" spans="3:11" s="68" customFormat="1" ht="11.25" x14ac:dyDescent="0.2">
      <c r="C373" s="22"/>
      <c r="D373" s="22"/>
      <c r="H373" s="22"/>
      <c r="K373" s="22"/>
    </row>
    <row r="374" spans="3:11" s="68" customFormat="1" ht="11.25" x14ac:dyDescent="0.2">
      <c r="C374" s="22"/>
      <c r="D374" s="22"/>
      <c r="H374" s="22"/>
      <c r="K374" s="22"/>
    </row>
    <row r="375" spans="3:11" s="68" customFormat="1" ht="11.25" x14ac:dyDescent="0.2">
      <c r="C375" s="22"/>
      <c r="D375" s="22"/>
      <c r="H375" s="22"/>
      <c r="K375" s="22"/>
    </row>
    <row r="376" spans="3:11" s="68" customFormat="1" ht="11.25" x14ac:dyDescent="0.2">
      <c r="C376" s="22"/>
      <c r="D376" s="22"/>
      <c r="H376" s="22"/>
      <c r="K376" s="22"/>
    </row>
    <row r="377" spans="3:11" s="68" customFormat="1" ht="11.25" x14ac:dyDescent="0.2">
      <c r="C377" s="22"/>
      <c r="D377" s="22"/>
      <c r="H377" s="22"/>
      <c r="K377" s="22"/>
    </row>
    <row r="378" spans="3:11" s="68" customFormat="1" ht="11.25" x14ac:dyDescent="0.2">
      <c r="C378" s="22"/>
      <c r="D378" s="22"/>
      <c r="H378" s="22"/>
      <c r="K378" s="22"/>
    </row>
    <row r="379" spans="3:11" s="68" customFormat="1" ht="11.25" x14ac:dyDescent="0.2">
      <c r="C379" s="22"/>
      <c r="D379" s="22"/>
      <c r="H379" s="22"/>
      <c r="K379" s="22"/>
    </row>
    <row r="380" spans="3:11" s="68" customFormat="1" ht="11.25" x14ac:dyDescent="0.2">
      <c r="C380" s="22"/>
      <c r="D380" s="22"/>
      <c r="H380" s="22"/>
      <c r="K380" s="22"/>
    </row>
    <row r="381" spans="3:11" s="68" customFormat="1" ht="11.25" x14ac:dyDescent="0.2">
      <c r="C381" s="22"/>
      <c r="D381" s="22"/>
      <c r="H381" s="22"/>
      <c r="K381" s="22"/>
    </row>
    <row r="382" spans="3:11" s="68" customFormat="1" ht="11.25" x14ac:dyDescent="0.2">
      <c r="C382" s="22"/>
      <c r="D382" s="22"/>
      <c r="H382" s="22"/>
      <c r="K382" s="22"/>
    </row>
    <row r="383" spans="3:11" s="68" customFormat="1" ht="11.25" x14ac:dyDescent="0.2">
      <c r="C383" s="22"/>
      <c r="D383" s="22"/>
      <c r="H383" s="22"/>
      <c r="K383" s="22"/>
    </row>
    <row r="384" spans="3:11" s="68" customFormat="1" ht="11.25" x14ac:dyDescent="0.2">
      <c r="C384" s="22"/>
      <c r="D384" s="22"/>
      <c r="H384" s="22"/>
      <c r="K384" s="22"/>
    </row>
    <row r="385" spans="3:11" s="68" customFormat="1" ht="11.25" x14ac:dyDescent="0.2">
      <c r="C385" s="22"/>
      <c r="D385" s="22"/>
      <c r="H385" s="22"/>
      <c r="K385" s="22"/>
    </row>
    <row r="386" spans="3:11" s="68" customFormat="1" ht="11.25" x14ac:dyDescent="0.2">
      <c r="C386" s="22"/>
      <c r="D386" s="22"/>
      <c r="H386" s="22"/>
      <c r="K386" s="22"/>
    </row>
    <row r="387" spans="3:11" s="68" customFormat="1" ht="11.25" x14ac:dyDescent="0.2">
      <c r="C387" s="22"/>
      <c r="D387" s="22"/>
      <c r="H387" s="22"/>
      <c r="K387" s="22"/>
    </row>
    <row r="388" spans="3:11" s="68" customFormat="1" ht="11.25" x14ac:dyDescent="0.2">
      <c r="C388" s="22"/>
      <c r="D388" s="22"/>
      <c r="H388" s="22"/>
      <c r="K388" s="22"/>
    </row>
    <row r="389" spans="3:11" s="68" customFormat="1" ht="11.25" x14ac:dyDescent="0.2">
      <c r="C389" s="22"/>
      <c r="D389" s="22"/>
      <c r="H389" s="22"/>
      <c r="K389" s="22"/>
    </row>
    <row r="390" spans="3:11" s="68" customFormat="1" ht="11.25" x14ac:dyDescent="0.2">
      <c r="C390" s="22"/>
      <c r="D390" s="22"/>
      <c r="H390" s="22"/>
      <c r="K390" s="22"/>
    </row>
    <row r="391" spans="3:11" s="68" customFormat="1" ht="11.25" x14ac:dyDescent="0.2">
      <c r="C391" s="22"/>
      <c r="D391" s="22"/>
      <c r="H391" s="22"/>
      <c r="K391" s="22"/>
    </row>
    <row r="392" spans="3:11" s="68" customFormat="1" ht="11.25" x14ac:dyDescent="0.2">
      <c r="C392" s="22"/>
      <c r="D392" s="22"/>
      <c r="H392" s="22"/>
      <c r="K392" s="22"/>
    </row>
    <row r="393" spans="3:11" s="68" customFormat="1" ht="11.25" x14ac:dyDescent="0.2">
      <c r="C393" s="22"/>
      <c r="D393" s="22"/>
      <c r="H393" s="22"/>
      <c r="K393" s="22"/>
    </row>
    <row r="394" spans="3:11" s="68" customFormat="1" ht="11.25" x14ac:dyDescent="0.2">
      <c r="C394" s="22"/>
      <c r="D394" s="22"/>
      <c r="H394" s="22"/>
      <c r="K394" s="22"/>
    </row>
    <row r="395" spans="3:11" s="68" customFormat="1" ht="11.25" x14ac:dyDescent="0.2">
      <c r="C395" s="22"/>
      <c r="D395" s="22"/>
      <c r="H395" s="22"/>
      <c r="K395" s="22"/>
    </row>
    <row r="396" spans="3:11" s="68" customFormat="1" ht="11.25" x14ac:dyDescent="0.2">
      <c r="C396" s="22"/>
      <c r="D396" s="22"/>
      <c r="H396" s="22"/>
      <c r="K396" s="22"/>
    </row>
    <row r="397" spans="3:11" s="68" customFormat="1" ht="11.25" x14ac:dyDescent="0.2">
      <c r="C397" s="22"/>
      <c r="D397" s="22"/>
      <c r="H397" s="22"/>
      <c r="K397" s="22"/>
    </row>
    <row r="398" spans="3:11" s="68" customFormat="1" ht="11.25" x14ac:dyDescent="0.2">
      <c r="C398" s="22"/>
      <c r="D398" s="22"/>
      <c r="H398" s="22"/>
      <c r="K398" s="22"/>
    </row>
    <row r="399" spans="3:11" s="68" customFormat="1" ht="11.25" x14ac:dyDescent="0.2">
      <c r="C399" s="22"/>
      <c r="D399" s="22"/>
      <c r="H399" s="22"/>
      <c r="K399" s="22"/>
    </row>
    <row r="400" spans="3:11" s="68" customFormat="1" ht="11.25" x14ac:dyDescent="0.2">
      <c r="C400" s="22"/>
      <c r="D400" s="22"/>
      <c r="H400" s="22"/>
      <c r="K400" s="22"/>
    </row>
    <row r="401" spans="3:11" s="68" customFormat="1" ht="11.25" x14ac:dyDescent="0.2">
      <c r="C401" s="22"/>
      <c r="D401" s="22"/>
      <c r="H401" s="22"/>
      <c r="K401" s="22"/>
    </row>
    <row r="402" spans="3:11" s="68" customFormat="1" ht="11.25" x14ac:dyDescent="0.2">
      <c r="C402" s="22"/>
      <c r="D402" s="22"/>
      <c r="H402" s="22"/>
      <c r="K402" s="22"/>
    </row>
    <row r="403" spans="3:11" s="68" customFormat="1" ht="11.25" x14ac:dyDescent="0.2">
      <c r="C403" s="22"/>
      <c r="D403" s="22"/>
      <c r="H403" s="22"/>
      <c r="K403" s="22"/>
    </row>
    <row r="404" spans="3:11" s="68" customFormat="1" ht="11.25" x14ac:dyDescent="0.2">
      <c r="C404" s="22"/>
      <c r="D404" s="22"/>
      <c r="H404" s="22"/>
      <c r="K404" s="22"/>
    </row>
    <row r="405" spans="3:11" s="68" customFormat="1" ht="11.25" x14ac:dyDescent="0.2">
      <c r="C405" s="22"/>
      <c r="D405" s="22"/>
      <c r="H405" s="22"/>
      <c r="K405" s="22"/>
    </row>
    <row r="406" spans="3:11" s="68" customFormat="1" ht="11.25" x14ac:dyDescent="0.2">
      <c r="C406" s="22"/>
      <c r="D406" s="22"/>
      <c r="H406" s="22"/>
      <c r="K406" s="22"/>
    </row>
    <row r="407" spans="3:11" s="68" customFormat="1" ht="11.25" x14ac:dyDescent="0.2">
      <c r="C407" s="22"/>
      <c r="D407" s="22"/>
      <c r="H407" s="22"/>
      <c r="K407" s="22"/>
    </row>
    <row r="408" spans="3:11" s="68" customFormat="1" ht="11.25" x14ac:dyDescent="0.2">
      <c r="C408" s="22"/>
      <c r="D408" s="22"/>
      <c r="H408" s="22"/>
      <c r="K408" s="22"/>
    </row>
    <row r="409" spans="3:11" s="68" customFormat="1" ht="11.25" x14ac:dyDescent="0.2">
      <c r="C409" s="22"/>
      <c r="D409" s="22"/>
      <c r="H409" s="22"/>
      <c r="K409" s="22"/>
    </row>
    <row r="410" spans="3:11" s="68" customFormat="1" ht="11.25" x14ac:dyDescent="0.2">
      <c r="C410" s="22"/>
      <c r="D410" s="22"/>
      <c r="H410" s="22"/>
      <c r="K410" s="22"/>
    </row>
    <row r="411" spans="3:11" s="68" customFormat="1" ht="11.25" x14ac:dyDescent="0.2">
      <c r="C411" s="22"/>
      <c r="D411" s="22"/>
      <c r="H411" s="22"/>
      <c r="K411" s="22"/>
    </row>
    <row r="412" spans="3:11" s="68" customFormat="1" ht="11.25" x14ac:dyDescent="0.2">
      <c r="C412" s="22"/>
      <c r="D412" s="22"/>
      <c r="H412" s="22"/>
      <c r="K412" s="22"/>
    </row>
    <row r="413" spans="3:11" s="68" customFormat="1" ht="11.25" x14ac:dyDescent="0.2">
      <c r="C413" s="22"/>
      <c r="D413" s="22"/>
      <c r="H413" s="22"/>
      <c r="K413" s="22"/>
    </row>
    <row r="414" spans="3:11" s="68" customFormat="1" ht="11.25" x14ac:dyDescent="0.2">
      <c r="C414" s="22"/>
      <c r="D414" s="22"/>
      <c r="H414" s="22"/>
      <c r="K414" s="22"/>
    </row>
    <row r="415" spans="3:11" s="68" customFormat="1" ht="11.25" x14ac:dyDescent="0.2">
      <c r="C415" s="22"/>
      <c r="D415" s="22"/>
      <c r="H415" s="22"/>
      <c r="K415" s="22"/>
    </row>
    <row r="416" spans="3:11" s="68" customFormat="1" ht="11.25" x14ac:dyDescent="0.2">
      <c r="C416" s="22"/>
      <c r="D416" s="22"/>
      <c r="H416" s="22"/>
      <c r="K416" s="22"/>
    </row>
    <row r="417" spans="3:11" s="68" customFormat="1" ht="11.25" x14ac:dyDescent="0.2">
      <c r="C417" s="22"/>
      <c r="D417" s="22"/>
      <c r="H417" s="22"/>
      <c r="K417" s="22"/>
    </row>
    <row r="418" spans="3:11" s="68" customFormat="1" ht="11.25" x14ac:dyDescent="0.2">
      <c r="C418" s="22"/>
      <c r="D418" s="22"/>
      <c r="H418" s="22"/>
      <c r="K418" s="22"/>
    </row>
    <row r="419" spans="3:11" s="68" customFormat="1" ht="11.25" x14ac:dyDescent="0.2">
      <c r="C419" s="22"/>
      <c r="D419" s="22"/>
      <c r="H419" s="22"/>
      <c r="K419" s="22"/>
    </row>
    <row r="420" spans="3:11" s="68" customFormat="1" ht="11.25" x14ac:dyDescent="0.2">
      <c r="C420" s="22"/>
      <c r="D420" s="22"/>
      <c r="H420" s="22"/>
      <c r="K420" s="22"/>
    </row>
    <row r="421" spans="3:11" s="68" customFormat="1" ht="11.25" x14ac:dyDescent="0.2">
      <c r="C421" s="22"/>
      <c r="D421" s="22"/>
      <c r="H421" s="22"/>
      <c r="K421" s="22"/>
    </row>
    <row r="422" spans="3:11" s="68" customFormat="1" ht="11.25" x14ac:dyDescent="0.2">
      <c r="C422" s="22"/>
      <c r="D422" s="22"/>
      <c r="H422" s="22"/>
      <c r="K422" s="22"/>
    </row>
    <row r="423" spans="3:11" s="68" customFormat="1" ht="11.25" x14ac:dyDescent="0.2">
      <c r="C423" s="22"/>
      <c r="D423" s="22"/>
      <c r="H423" s="22"/>
      <c r="K423" s="22"/>
    </row>
    <row r="424" spans="3:11" s="68" customFormat="1" ht="11.25" x14ac:dyDescent="0.2">
      <c r="C424" s="22"/>
      <c r="D424" s="22"/>
      <c r="H424" s="22"/>
      <c r="K424" s="22"/>
    </row>
    <row r="425" spans="3:11" s="68" customFormat="1" ht="11.25" x14ac:dyDescent="0.2">
      <c r="C425" s="22"/>
      <c r="D425" s="22"/>
      <c r="H425" s="22"/>
      <c r="K425" s="22"/>
    </row>
    <row r="426" spans="3:11" s="68" customFormat="1" ht="11.25" x14ac:dyDescent="0.2">
      <c r="C426" s="22"/>
      <c r="D426" s="22"/>
      <c r="H426" s="22"/>
      <c r="K426" s="22"/>
    </row>
    <row r="427" spans="3:11" s="68" customFormat="1" ht="11.25" x14ac:dyDescent="0.2">
      <c r="C427" s="22"/>
      <c r="D427" s="22"/>
      <c r="H427" s="22"/>
      <c r="K427" s="22"/>
    </row>
    <row r="428" spans="3:11" s="68" customFormat="1" ht="11.25" x14ac:dyDescent="0.2">
      <c r="C428" s="22"/>
      <c r="D428" s="22"/>
      <c r="H428" s="22"/>
      <c r="K428" s="22"/>
    </row>
    <row r="429" spans="3:11" s="68" customFormat="1" ht="11.25" x14ac:dyDescent="0.2">
      <c r="C429" s="22"/>
      <c r="D429" s="22"/>
      <c r="H429" s="22"/>
      <c r="K429" s="22"/>
    </row>
    <row r="430" spans="3:11" s="68" customFormat="1" ht="11.25" x14ac:dyDescent="0.2">
      <c r="C430" s="22"/>
      <c r="D430" s="22"/>
      <c r="H430" s="22"/>
      <c r="K430" s="22"/>
    </row>
    <row r="431" spans="3:11" s="68" customFormat="1" ht="11.25" x14ac:dyDescent="0.2">
      <c r="C431" s="22"/>
      <c r="D431" s="22"/>
      <c r="H431" s="22"/>
      <c r="K431" s="22"/>
    </row>
    <row r="432" spans="3:11" s="68" customFormat="1" ht="11.25" x14ac:dyDescent="0.2">
      <c r="C432" s="22"/>
      <c r="D432" s="22"/>
      <c r="H432" s="22"/>
      <c r="K432" s="22"/>
    </row>
    <row r="433" spans="3:11" s="68" customFormat="1" ht="11.25" x14ac:dyDescent="0.2">
      <c r="C433" s="22"/>
      <c r="D433" s="22"/>
      <c r="H433" s="22"/>
      <c r="K433" s="22"/>
    </row>
    <row r="434" spans="3:11" s="68" customFormat="1" ht="11.25" x14ac:dyDescent="0.2">
      <c r="C434" s="22"/>
      <c r="D434" s="22"/>
      <c r="H434" s="22"/>
      <c r="K434" s="22"/>
    </row>
    <row r="435" spans="3:11" s="68" customFormat="1" ht="11.25" x14ac:dyDescent="0.2">
      <c r="C435" s="22"/>
      <c r="D435" s="22"/>
      <c r="H435" s="22"/>
      <c r="K435" s="22"/>
    </row>
    <row r="436" spans="3:11" s="68" customFormat="1" ht="11.25" x14ac:dyDescent="0.2">
      <c r="C436" s="22"/>
      <c r="D436" s="22"/>
      <c r="H436" s="22"/>
      <c r="K436" s="22"/>
    </row>
    <row r="437" spans="3:11" s="68" customFormat="1" ht="11.25" x14ac:dyDescent="0.2">
      <c r="C437" s="22"/>
      <c r="D437" s="22"/>
      <c r="H437" s="22"/>
      <c r="K437" s="22"/>
    </row>
    <row r="438" spans="3:11" s="68" customFormat="1" ht="11.25" x14ac:dyDescent="0.2">
      <c r="C438" s="22"/>
      <c r="D438" s="22"/>
      <c r="H438" s="22"/>
      <c r="K438" s="22"/>
    </row>
    <row r="439" spans="3:11" s="68" customFormat="1" ht="11.25" x14ac:dyDescent="0.2">
      <c r="C439" s="22"/>
      <c r="D439" s="22"/>
      <c r="H439" s="22"/>
      <c r="K439" s="22"/>
    </row>
    <row r="440" spans="3:11" s="68" customFormat="1" ht="11.25" x14ac:dyDescent="0.2">
      <c r="C440" s="22"/>
      <c r="D440" s="22"/>
      <c r="H440" s="22"/>
      <c r="K440" s="22"/>
    </row>
    <row r="441" spans="3:11" s="68" customFormat="1" ht="11.25" x14ac:dyDescent="0.2">
      <c r="C441" s="22"/>
      <c r="D441" s="22"/>
      <c r="H441" s="22"/>
      <c r="K441" s="22"/>
    </row>
    <row r="442" spans="3:11" s="68" customFormat="1" ht="11.25" x14ac:dyDescent="0.2">
      <c r="C442" s="22"/>
      <c r="D442" s="22"/>
      <c r="H442" s="22"/>
      <c r="K442" s="22"/>
    </row>
    <row r="443" spans="3:11" s="68" customFormat="1" ht="11.25" x14ac:dyDescent="0.2">
      <c r="C443" s="22"/>
      <c r="D443" s="22"/>
      <c r="H443" s="22"/>
      <c r="K443" s="22"/>
    </row>
    <row r="444" spans="3:11" s="68" customFormat="1" ht="11.25" x14ac:dyDescent="0.2">
      <c r="C444" s="22"/>
      <c r="D444" s="22"/>
      <c r="H444" s="22"/>
      <c r="K444" s="22"/>
    </row>
    <row r="445" spans="3:11" s="68" customFormat="1" ht="11.25" x14ac:dyDescent="0.2">
      <c r="C445" s="22"/>
      <c r="D445" s="22"/>
      <c r="H445" s="22"/>
      <c r="K445" s="22"/>
    </row>
    <row r="446" spans="3:11" s="68" customFormat="1" ht="11.25" x14ac:dyDescent="0.2">
      <c r="C446" s="22"/>
      <c r="D446" s="22"/>
      <c r="H446" s="22"/>
      <c r="K446" s="22"/>
    </row>
    <row r="447" spans="3:11" s="68" customFormat="1" ht="11.25" x14ac:dyDescent="0.2">
      <c r="C447" s="22"/>
      <c r="D447" s="22"/>
      <c r="H447" s="22"/>
      <c r="K447" s="22"/>
    </row>
    <row r="448" spans="3:11" s="68" customFormat="1" ht="11.25" x14ac:dyDescent="0.2">
      <c r="C448" s="22"/>
      <c r="D448" s="22"/>
      <c r="H448" s="22"/>
      <c r="K448" s="22"/>
    </row>
    <row r="449" spans="3:11" s="68" customFormat="1" ht="11.25" x14ac:dyDescent="0.2">
      <c r="C449" s="22"/>
      <c r="D449" s="22"/>
      <c r="H449" s="22"/>
      <c r="K449" s="22"/>
    </row>
    <row r="450" spans="3:11" s="68" customFormat="1" ht="11.25" x14ac:dyDescent="0.2">
      <c r="C450" s="22"/>
      <c r="D450" s="22"/>
      <c r="H450" s="22"/>
      <c r="K450" s="22"/>
    </row>
    <row r="451" spans="3:11" s="68" customFormat="1" ht="11.25" x14ac:dyDescent="0.2">
      <c r="C451" s="22"/>
      <c r="D451" s="22"/>
      <c r="H451" s="22"/>
      <c r="K451" s="22"/>
    </row>
    <row r="452" spans="3:11" s="68" customFormat="1" ht="11.25" x14ac:dyDescent="0.2">
      <c r="C452" s="22"/>
      <c r="D452" s="22"/>
      <c r="H452" s="22"/>
      <c r="K452" s="22"/>
    </row>
    <row r="453" spans="3:11" s="68" customFormat="1" ht="11.25" x14ac:dyDescent="0.2">
      <c r="C453" s="22"/>
      <c r="D453" s="22"/>
      <c r="H453" s="22"/>
      <c r="K453" s="22"/>
    </row>
    <row r="454" spans="3:11" s="68" customFormat="1" ht="11.25" x14ac:dyDescent="0.2">
      <c r="C454" s="22"/>
      <c r="D454" s="22"/>
      <c r="H454" s="22"/>
      <c r="K454" s="22"/>
    </row>
    <row r="455" spans="3:11" s="68" customFormat="1" ht="11.25" x14ac:dyDescent="0.2">
      <c r="C455" s="22"/>
      <c r="D455" s="22"/>
      <c r="H455" s="22"/>
      <c r="K455" s="22"/>
    </row>
    <row r="456" spans="3:11" s="68" customFormat="1" ht="11.25" x14ac:dyDescent="0.2">
      <c r="C456" s="22"/>
      <c r="D456" s="22"/>
      <c r="H456" s="22"/>
      <c r="K456" s="22"/>
    </row>
    <row r="457" spans="3:11" s="68" customFormat="1" ht="11.25" x14ac:dyDescent="0.2">
      <c r="C457" s="22"/>
      <c r="D457" s="22"/>
      <c r="H457" s="22"/>
      <c r="K457" s="22"/>
    </row>
    <row r="458" spans="3:11" s="68" customFormat="1" ht="11.25" x14ac:dyDescent="0.2">
      <c r="C458" s="22"/>
      <c r="D458" s="22"/>
      <c r="H458" s="22"/>
      <c r="K458" s="22"/>
    </row>
    <row r="459" spans="3:11" s="68" customFormat="1" ht="11.25" x14ac:dyDescent="0.2">
      <c r="C459" s="22"/>
      <c r="D459" s="22"/>
      <c r="H459" s="22"/>
      <c r="K459" s="22"/>
    </row>
    <row r="460" spans="3:11" s="68" customFormat="1" ht="11.25" x14ac:dyDescent="0.2">
      <c r="C460" s="22"/>
      <c r="D460" s="22"/>
      <c r="H460" s="22"/>
      <c r="K460" s="22"/>
    </row>
    <row r="461" spans="3:11" s="68" customFormat="1" ht="11.25" x14ac:dyDescent="0.2">
      <c r="C461" s="22"/>
      <c r="D461" s="22"/>
      <c r="H461" s="22"/>
      <c r="K461" s="22"/>
    </row>
    <row r="462" spans="3:11" s="68" customFormat="1" ht="11.25" x14ac:dyDescent="0.2">
      <c r="C462" s="22"/>
      <c r="D462" s="22"/>
      <c r="H462" s="22"/>
      <c r="K462" s="22"/>
    </row>
    <row r="463" spans="3:11" s="68" customFormat="1" ht="11.25" x14ac:dyDescent="0.2">
      <c r="C463" s="22"/>
      <c r="D463" s="22"/>
      <c r="H463" s="22"/>
      <c r="K463" s="22"/>
    </row>
    <row r="464" spans="3:11" s="68" customFormat="1" ht="11.25" x14ac:dyDescent="0.2">
      <c r="C464" s="22"/>
      <c r="D464" s="22"/>
      <c r="H464" s="22"/>
      <c r="K464" s="22"/>
    </row>
    <row r="465" spans="3:11" s="68" customFormat="1" ht="11.25" x14ac:dyDescent="0.2">
      <c r="C465" s="22"/>
      <c r="D465" s="22"/>
      <c r="H465" s="22"/>
      <c r="K465" s="22"/>
    </row>
    <row r="466" spans="3:11" s="68" customFormat="1" ht="11.25" x14ac:dyDescent="0.2">
      <c r="C466" s="22"/>
      <c r="D466" s="22"/>
      <c r="H466" s="22"/>
      <c r="K466" s="22"/>
    </row>
    <row r="467" spans="3:11" s="68" customFormat="1" ht="11.25" x14ac:dyDescent="0.2">
      <c r="C467" s="22"/>
      <c r="D467" s="22"/>
      <c r="H467" s="22"/>
      <c r="K467" s="22"/>
    </row>
    <row r="468" spans="3:11" s="68" customFormat="1" ht="11.25" x14ac:dyDescent="0.2">
      <c r="C468" s="22"/>
      <c r="D468" s="22"/>
      <c r="H468" s="22"/>
      <c r="K468" s="22"/>
    </row>
    <row r="469" spans="3:11" s="68" customFormat="1" ht="11.25" x14ac:dyDescent="0.2">
      <c r="C469" s="22"/>
      <c r="D469" s="22"/>
      <c r="H469" s="22"/>
      <c r="K469" s="22"/>
    </row>
    <row r="470" spans="3:11" s="68" customFormat="1" ht="11.25" x14ac:dyDescent="0.2">
      <c r="C470" s="22"/>
      <c r="D470" s="22"/>
      <c r="H470" s="22"/>
      <c r="K470" s="22"/>
    </row>
    <row r="471" spans="3:11" s="68" customFormat="1" ht="11.25" x14ac:dyDescent="0.2">
      <c r="C471" s="22"/>
      <c r="D471" s="22"/>
      <c r="H471" s="22"/>
      <c r="K471" s="22"/>
    </row>
    <row r="472" spans="3:11" s="68" customFormat="1" ht="11.25" x14ac:dyDescent="0.2">
      <c r="C472" s="22"/>
      <c r="D472" s="22"/>
      <c r="H472" s="22"/>
      <c r="K472" s="22"/>
    </row>
    <row r="473" spans="3:11" s="68" customFormat="1" ht="11.25" x14ac:dyDescent="0.2">
      <c r="C473" s="22"/>
      <c r="D473" s="22"/>
      <c r="H473" s="22"/>
      <c r="K473" s="22"/>
    </row>
    <row r="474" spans="3:11" s="68" customFormat="1" ht="11.25" x14ac:dyDescent="0.2">
      <c r="C474" s="22"/>
      <c r="D474" s="22"/>
      <c r="H474" s="22"/>
      <c r="K474" s="22"/>
    </row>
    <row r="475" spans="3:11" s="68" customFormat="1" ht="11.25" x14ac:dyDescent="0.2">
      <c r="C475" s="22"/>
      <c r="D475" s="22"/>
      <c r="H475" s="22"/>
      <c r="K475" s="22"/>
    </row>
    <row r="476" spans="3:11" s="68" customFormat="1" ht="11.25" x14ac:dyDescent="0.2">
      <c r="C476" s="22"/>
      <c r="D476" s="22"/>
      <c r="H476" s="22"/>
      <c r="K476" s="22"/>
    </row>
    <row r="477" spans="3:11" s="68" customFormat="1" ht="11.25" x14ac:dyDescent="0.2">
      <c r="C477" s="22"/>
      <c r="D477" s="22"/>
      <c r="H477" s="22"/>
      <c r="K477" s="22"/>
    </row>
    <row r="478" spans="3:11" s="68" customFormat="1" ht="11.25" x14ac:dyDescent="0.2">
      <c r="C478" s="22"/>
      <c r="D478" s="22"/>
      <c r="H478" s="22"/>
      <c r="K478" s="22"/>
    </row>
    <row r="479" spans="3:11" s="68" customFormat="1" ht="11.25" x14ac:dyDescent="0.2">
      <c r="C479" s="22"/>
      <c r="D479" s="22"/>
      <c r="H479" s="22"/>
      <c r="K479" s="22"/>
    </row>
    <row r="480" spans="3:11" s="68" customFormat="1" ht="11.25" x14ac:dyDescent="0.2">
      <c r="C480" s="22"/>
      <c r="D480" s="22"/>
      <c r="H480" s="22"/>
      <c r="K480" s="22"/>
    </row>
    <row r="481" spans="3:11" s="68" customFormat="1" ht="11.25" x14ac:dyDescent="0.2">
      <c r="C481" s="22"/>
      <c r="D481" s="22"/>
      <c r="H481" s="22"/>
      <c r="K481" s="22"/>
    </row>
    <row r="482" spans="3:11" s="68" customFormat="1" ht="11.25" x14ac:dyDescent="0.2">
      <c r="C482" s="22"/>
      <c r="D482" s="22"/>
      <c r="H482" s="22"/>
      <c r="K482" s="22"/>
    </row>
    <row r="483" spans="3:11" s="68" customFormat="1" ht="11.25" x14ac:dyDescent="0.2">
      <c r="C483" s="22"/>
      <c r="D483" s="22"/>
      <c r="H483" s="22"/>
      <c r="K483" s="22"/>
    </row>
    <row r="484" spans="3:11" s="68" customFormat="1" ht="11.25" x14ac:dyDescent="0.2">
      <c r="C484" s="22"/>
      <c r="D484" s="22"/>
      <c r="H484" s="22"/>
      <c r="K484" s="22"/>
    </row>
    <row r="485" spans="3:11" s="68" customFormat="1" ht="11.25" x14ac:dyDescent="0.2">
      <c r="C485" s="22"/>
      <c r="D485" s="22"/>
      <c r="H485" s="22"/>
      <c r="K485" s="22"/>
    </row>
    <row r="486" spans="3:11" s="68" customFormat="1" ht="11.25" x14ac:dyDescent="0.2">
      <c r="C486" s="22"/>
      <c r="D486" s="22"/>
      <c r="H486" s="22"/>
      <c r="K486" s="22"/>
    </row>
    <row r="487" spans="3:11" s="68" customFormat="1" ht="11.25" x14ac:dyDescent="0.2">
      <c r="C487" s="22"/>
      <c r="D487" s="22"/>
      <c r="H487" s="22"/>
      <c r="K487" s="22"/>
    </row>
    <row r="488" spans="3:11" s="68" customFormat="1" ht="11.25" x14ac:dyDescent="0.2">
      <c r="C488" s="22"/>
      <c r="D488" s="22"/>
      <c r="H488" s="22"/>
      <c r="K488" s="22"/>
    </row>
    <row r="489" spans="3:11" s="68" customFormat="1" ht="11.25" x14ac:dyDescent="0.2">
      <c r="C489" s="22"/>
      <c r="D489" s="22"/>
      <c r="H489" s="22"/>
      <c r="K489" s="22"/>
    </row>
    <row r="490" spans="3:11" s="68" customFormat="1" ht="11.25" x14ac:dyDescent="0.2">
      <c r="C490" s="22"/>
      <c r="D490" s="22"/>
      <c r="H490" s="22"/>
      <c r="K490" s="22"/>
    </row>
    <row r="491" spans="3:11" s="68" customFormat="1" ht="11.25" x14ac:dyDescent="0.2">
      <c r="C491" s="22"/>
      <c r="D491" s="22"/>
      <c r="H491" s="22"/>
      <c r="K491" s="22"/>
    </row>
    <row r="492" spans="3:11" s="68" customFormat="1" ht="11.25" x14ac:dyDescent="0.2">
      <c r="C492" s="22"/>
      <c r="D492" s="22"/>
      <c r="H492" s="22"/>
      <c r="K492" s="22"/>
    </row>
    <row r="493" spans="3:11" s="68" customFormat="1" ht="11.25" x14ac:dyDescent="0.2">
      <c r="C493" s="22"/>
      <c r="D493" s="22"/>
      <c r="H493" s="22"/>
      <c r="K493" s="22"/>
    </row>
    <row r="494" spans="3:11" s="68" customFormat="1" ht="11.25" x14ac:dyDescent="0.2">
      <c r="C494" s="22"/>
      <c r="D494" s="22"/>
      <c r="H494" s="22"/>
      <c r="K494" s="22"/>
    </row>
    <row r="495" spans="3:11" s="68" customFormat="1" ht="11.25" x14ac:dyDescent="0.2">
      <c r="C495" s="22"/>
      <c r="D495" s="22"/>
      <c r="H495" s="22"/>
      <c r="K495" s="22"/>
    </row>
    <row r="496" spans="3:11" s="68" customFormat="1" ht="11.25" x14ac:dyDescent="0.2">
      <c r="C496" s="22"/>
      <c r="D496" s="22"/>
      <c r="H496" s="22"/>
      <c r="K496" s="22"/>
    </row>
    <row r="497" spans="3:11" s="68" customFormat="1" ht="11.25" x14ac:dyDescent="0.2">
      <c r="C497" s="22"/>
      <c r="D497" s="22"/>
      <c r="H497" s="22"/>
      <c r="K497" s="22"/>
    </row>
    <row r="498" spans="3:11" s="68" customFormat="1" ht="11.25" x14ac:dyDescent="0.2">
      <c r="C498" s="22"/>
      <c r="D498" s="22"/>
      <c r="H498" s="22"/>
      <c r="K498" s="22"/>
    </row>
    <row r="499" spans="3:11" s="68" customFormat="1" ht="11.25" x14ac:dyDescent="0.2">
      <c r="C499" s="22"/>
      <c r="D499" s="22"/>
      <c r="H499" s="22"/>
      <c r="K499" s="22"/>
    </row>
    <row r="500" spans="3:11" s="68" customFormat="1" ht="11.25" x14ac:dyDescent="0.2">
      <c r="C500" s="22"/>
      <c r="D500" s="22"/>
      <c r="H500" s="22"/>
      <c r="K500" s="22"/>
    </row>
    <row r="501" spans="3:11" s="68" customFormat="1" ht="11.25" x14ac:dyDescent="0.2">
      <c r="C501" s="22"/>
      <c r="D501" s="22"/>
      <c r="H501" s="22"/>
      <c r="K501" s="22"/>
    </row>
    <row r="502" spans="3:11" s="68" customFormat="1" ht="11.25" x14ac:dyDescent="0.2">
      <c r="C502" s="22"/>
      <c r="D502" s="22"/>
      <c r="H502" s="22"/>
      <c r="K502" s="22"/>
    </row>
    <row r="503" spans="3:11" s="68" customFormat="1" ht="11.25" x14ac:dyDescent="0.2">
      <c r="C503" s="22"/>
      <c r="D503" s="22"/>
      <c r="H503" s="22"/>
      <c r="K503" s="22"/>
    </row>
    <row r="504" spans="3:11" s="68" customFormat="1" ht="11.25" x14ac:dyDescent="0.2">
      <c r="C504" s="22"/>
      <c r="D504" s="22"/>
      <c r="H504" s="22"/>
      <c r="K504" s="22"/>
    </row>
    <row r="505" spans="3:11" s="68" customFormat="1" ht="11.25" x14ac:dyDescent="0.2">
      <c r="C505" s="22"/>
      <c r="D505" s="22"/>
      <c r="H505" s="22"/>
      <c r="K505" s="22"/>
    </row>
    <row r="506" spans="3:11" s="68" customFormat="1" ht="11.25" x14ac:dyDescent="0.2">
      <c r="C506" s="22"/>
      <c r="D506" s="22"/>
      <c r="H506" s="22"/>
      <c r="K506" s="22"/>
    </row>
    <row r="507" spans="3:11" s="68" customFormat="1" ht="11.25" x14ac:dyDescent="0.2">
      <c r="C507" s="22"/>
      <c r="D507" s="22"/>
      <c r="H507" s="22"/>
      <c r="K507" s="22"/>
    </row>
    <row r="508" spans="3:11" s="68" customFormat="1" ht="11.25" x14ac:dyDescent="0.2">
      <c r="C508" s="22"/>
      <c r="D508" s="22"/>
      <c r="H508" s="22"/>
      <c r="K508" s="22"/>
    </row>
    <row r="509" spans="3:11" s="68" customFormat="1" ht="11.25" x14ac:dyDescent="0.2">
      <c r="C509" s="22"/>
      <c r="D509" s="22"/>
      <c r="H509" s="22"/>
      <c r="K509" s="22"/>
    </row>
    <row r="510" spans="3:11" s="68" customFormat="1" ht="11.25" x14ac:dyDescent="0.2">
      <c r="C510" s="22"/>
      <c r="D510" s="22"/>
      <c r="H510" s="22"/>
      <c r="K510" s="22"/>
    </row>
    <row r="511" spans="3:11" s="68" customFormat="1" ht="11.25" x14ac:dyDescent="0.2">
      <c r="C511" s="22"/>
      <c r="D511" s="22"/>
      <c r="H511" s="22"/>
      <c r="K511" s="22"/>
    </row>
    <row r="512" spans="3:11" s="68" customFormat="1" ht="11.25" x14ac:dyDescent="0.2">
      <c r="C512" s="22"/>
      <c r="D512" s="22"/>
      <c r="H512" s="22"/>
      <c r="K512" s="22"/>
    </row>
    <row r="513" spans="3:11" s="68" customFormat="1" ht="11.25" x14ac:dyDescent="0.2">
      <c r="C513" s="22"/>
      <c r="D513" s="22"/>
      <c r="H513" s="22"/>
      <c r="K513" s="22"/>
    </row>
    <row r="514" spans="3:11" s="68" customFormat="1" ht="11.25" x14ac:dyDescent="0.2">
      <c r="C514" s="22"/>
      <c r="D514" s="22"/>
      <c r="H514" s="22"/>
      <c r="K514" s="22"/>
    </row>
    <row r="515" spans="3:11" s="68" customFormat="1" ht="11.25" x14ac:dyDescent="0.2">
      <c r="C515" s="22"/>
      <c r="D515" s="22"/>
      <c r="H515" s="22"/>
      <c r="K515" s="22"/>
    </row>
    <row r="516" spans="3:11" s="68" customFormat="1" ht="11.25" x14ac:dyDescent="0.2">
      <c r="C516" s="22"/>
      <c r="D516" s="22"/>
      <c r="H516" s="22"/>
      <c r="K516" s="22"/>
    </row>
    <row r="517" spans="3:11" s="68" customFormat="1" ht="11.25" x14ac:dyDescent="0.2">
      <c r="C517" s="22"/>
      <c r="D517" s="22"/>
      <c r="H517" s="22"/>
      <c r="K517" s="22"/>
    </row>
    <row r="518" spans="3:11" s="68" customFormat="1" ht="11.25" x14ac:dyDescent="0.2">
      <c r="C518" s="22"/>
      <c r="D518" s="22"/>
      <c r="H518" s="22"/>
      <c r="K518" s="22"/>
    </row>
    <row r="519" spans="3:11" s="68" customFormat="1" ht="11.25" x14ac:dyDescent="0.2">
      <c r="C519" s="22"/>
      <c r="D519" s="22"/>
      <c r="H519" s="22"/>
      <c r="K519" s="22"/>
    </row>
    <row r="520" spans="3:11" s="68" customFormat="1" ht="11.25" x14ac:dyDescent="0.2">
      <c r="C520" s="22"/>
      <c r="D520" s="22"/>
      <c r="H520" s="22"/>
      <c r="K520" s="22"/>
    </row>
    <row r="521" spans="3:11" s="68" customFormat="1" ht="11.25" x14ac:dyDescent="0.2">
      <c r="C521" s="22"/>
      <c r="D521" s="22"/>
      <c r="H521" s="22"/>
      <c r="K521" s="22"/>
    </row>
    <row r="522" spans="3:11" s="68" customFormat="1" ht="11.25" x14ac:dyDescent="0.2">
      <c r="C522" s="22"/>
      <c r="D522" s="22"/>
      <c r="H522" s="22"/>
      <c r="K522" s="22"/>
    </row>
    <row r="523" spans="3:11" s="68" customFormat="1" ht="11.25" x14ac:dyDescent="0.2">
      <c r="C523" s="22"/>
      <c r="D523" s="22"/>
      <c r="H523" s="22"/>
      <c r="K523" s="22"/>
    </row>
    <row r="524" spans="3:11" s="68" customFormat="1" ht="11.25" x14ac:dyDescent="0.2">
      <c r="C524" s="22"/>
      <c r="D524" s="22"/>
      <c r="H524" s="22"/>
      <c r="K524" s="22"/>
    </row>
    <row r="525" spans="3:11" s="68" customFormat="1" ht="11.25" x14ac:dyDescent="0.2">
      <c r="C525" s="22"/>
      <c r="D525" s="22"/>
      <c r="H525" s="22"/>
      <c r="K525" s="22"/>
    </row>
    <row r="526" spans="3:11" s="68" customFormat="1" ht="11.25" x14ac:dyDescent="0.2">
      <c r="C526" s="22"/>
      <c r="D526" s="22"/>
      <c r="H526" s="22"/>
      <c r="K526" s="22"/>
    </row>
    <row r="527" spans="3:11" s="68" customFormat="1" ht="11.25" x14ac:dyDescent="0.2">
      <c r="C527" s="22"/>
      <c r="D527" s="22"/>
      <c r="H527" s="22"/>
      <c r="K527" s="22"/>
    </row>
    <row r="528" spans="3:11" s="68" customFormat="1" ht="11.25" x14ac:dyDescent="0.2">
      <c r="C528" s="22"/>
      <c r="D528" s="22"/>
      <c r="H528" s="22"/>
      <c r="K528" s="22"/>
    </row>
    <row r="529" spans="3:11" s="68" customFormat="1" ht="11.25" x14ac:dyDescent="0.2">
      <c r="C529" s="22"/>
      <c r="D529" s="22"/>
      <c r="H529" s="22"/>
      <c r="K529" s="22"/>
    </row>
    <row r="530" spans="3:11" s="68" customFormat="1" ht="11.25" x14ac:dyDescent="0.2">
      <c r="C530" s="22"/>
      <c r="D530" s="22"/>
      <c r="H530" s="22"/>
      <c r="K530" s="22"/>
    </row>
    <row r="531" spans="3:11" s="68" customFormat="1" ht="11.25" x14ac:dyDescent="0.2">
      <c r="C531" s="22"/>
      <c r="D531" s="22"/>
      <c r="H531" s="22"/>
      <c r="K531" s="22"/>
    </row>
    <row r="532" spans="3:11" s="68" customFormat="1" ht="11.25" x14ac:dyDescent="0.2">
      <c r="C532" s="22"/>
      <c r="D532" s="22"/>
      <c r="H532" s="22"/>
      <c r="K532" s="22"/>
    </row>
    <row r="533" spans="3:11" s="68" customFormat="1" ht="11.25" x14ac:dyDescent="0.2">
      <c r="C533" s="22"/>
      <c r="D533" s="22"/>
      <c r="H533" s="22"/>
      <c r="K533" s="22"/>
    </row>
    <row r="534" spans="3:11" s="68" customFormat="1" ht="11.25" x14ac:dyDescent="0.2">
      <c r="C534" s="22"/>
      <c r="D534" s="22"/>
      <c r="H534" s="22"/>
      <c r="K534" s="22"/>
    </row>
    <row r="535" spans="3:11" s="68" customFormat="1" ht="11.25" x14ac:dyDescent="0.2">
      <c r="C535" s="22"/>
      <c r="D535" s="22"/>
      <c r="H535" s="22"/>
      <c r="K535" s="22"/>
    </row>
    <row r="536" spans="3:11" s="68" customFormat="1" ht="11.25" x14ac:dyDescent="0.2">
      <c r="C536" s="22"/>
      <c r="D536" s="22"/>
      <c r="H536" s="22"/>
      <c r="K536" s="22"/>
    </row>
    <row r="537" spans="3:11" s="68" customFormat="1" ht="11.25" x14ac:dyDescent="0.2">
      <c r="C537" s="22"/>
      <c r="D537" s="22"/>
      <c r="H537" s="22"/>
      <c r="K537" s="22"/>
    </row>
    <row r="538" spans="3:11" s="68" customFormat="1" ht="11.25" x14ac:dyDescent="0.2">
      <c r="C538" s="22"/>
      <c r="D538" s="22"/>
      <c r="H538" s="22"/>
      <c r="K538" s="22"/>
    </row>
    <row r="539" spans="3:11" s="68" customFormat="1" ht="11.25" x14ac:dyDescent="0.2">
      <c r="C539" s="22"/>
      <c r="D539" s="22"/>
      <c r="H539" s="22"/>
      <c r="K539" s="22"/>
    </row>
    <row r="540" spans="3:11" s="68" customFormat="1" ht="11.25" x14ac:dyDescent="0.2">
      <c r="C540" s="22"/>
      <c r="D540" s="22"/>
      <c r="H540" s="22"/>
      <c r="K540" s="22"/>
    </row>
    <row r="541" spans="3:11" s="68" customFormat="1" ht="11.25" x14ac:dyDescent="0.2">
      <c r="C541" s="22"/>
      <c r="D541" s="22"/>
      <c r="H541" s="22"/>
      <c r="K541" s="22"/>
    </row>
    <row r="542" spans="3:11" s="68" customFormat="1" ht="11.25" x14ac:dyDescent="0.2">
      <c r="C542" s="22"/>
      <c r="D542" s="22"/>
      <c r="H542" s="22"/>
      <c r="K542" s="22"/>
    </row>
    <row r="543" spans="3:11" s="68" customFormat="1" ht="11.25" x14ac:dyDescent="0.2">
      <c r="C543" s="22"/>
      <c r="D543" s="22"/>
      <c r="H543" s="22"/>
      <c r="K543" s="22"/>
    </row>
    <row r="544" spans="3:11" s="68" customFormat="1" ht="11.25" x14ac:dyDescent="0.2">
      <c r="C544" s="22"/>
      <c r="D544" s="22"/>
      <c r="H544" s="22"/>
      <c r="K544" s="22"/>
    </row>
    <row r="545" spans="3:11" s="68" customFormat="1" ht="11.25" x14ac:dyDescent="0.2">
      <c r="C545" s="22"/>
      <c r="D545" s="22"/>
      <c r="H545" s="22"/>
      <c r="K545" s="22"/>
    </row>
    <row r="546" spans="3:11" s="68" customFormat="1" ht="11.25" x14ac:dyDescent="0.2">
      <c r="C546" s="22"/>
      <c r="D546" s="22"/>
      <c r="H546" s="22"/>
      <c r="K546" s="22"/>
    </row>
    <row r="547" spans="3:11" s="68" customFormat="1" ht="11.25" x14ac:dyDescent="0.2">
      <c r="C547" s="22"/>
      <c r="D547" s="22"/>
      <c r="H547" s="22"/>
      <c r="K547" s="22"/>
    </row>
    <row r="548" spans="3:11" s="68" customFormat="1" ht="11.25" x14ac:dyDescent="0.2">
      <c r="C548" s="22"/>
      <c r="D548" s="22"/>
      <c r="H548" s="22"/>
      <c r="K548" s="22"/>
    </row>
    <row r="549" spans="3:11" s="68" customFormat="1" ht="11.25" x14ac:dyDescent="0.2">
      <c r="C549" s="22"/>
      <c r="D549" s="22"/>
      <c r="H549" s="22"/>
      <c r="K549" s="22"/>
    </row>
    <row r="550" spans="3:11" s="68" customFormat="1" ht="11.25" x14ac:dyDescent="0.2">
      <c r="C550" s="22"/>
      <c r="D550" s="22"/>
      <c r="H550" s="22"/>
      <c r="K550" s="22"/>
    </row>
    <row r="551" spans="3:11" s="68" customFormat="1" ht="11.25" x14ac:dyDescent="0.2">
      <c r="C551" s="22"/>
      <c r="D551" s="22"/>
      <c r="H551" s="22"/>
      <c r="K551" s="22"/>
    </row>
    <row r="552" spans="3:11" s="68" customFormat="1" ht="11.25" x14ac:dyDescent="0.2">
      <c r="C552" s="22"/>
      <c r="D552" s="22"/>
      <c r="H552" s="22"/>
      <c r="K552" s="22"/>
    </row>
    <row r="553" spans="3:11" s="68" customFormat="1" ht="11.25" x14ac:dyDescent="0.2">
      <c r="C553" s="22"/>
      <c r="D553" s="22"/>
      <c r="H553" s="22"/>
      <c r="K553" s="22"/>
    </row>
    <row r="554" spans="3:11" s="68" customFormat="1" ht="11.25" x14ac:dyDescent="0.2">
      <c r="C554" s="22"/>
      <c r="D554" s="22"/>
      <c r="H554" s="22"/>
      <c r="K554" s="22"/>
    </row>
    <row r="555" spans="3:11" s="68" customFormat="1" ht="11.25" x14ac:dyDescent="0.2">
      <c r="C555" s="22"/>
      <c r="D555" s="22"/>
      <c r="H555" s="22"/>
      <c r="K555" s="22"/>
    </row>
    <row r="556" spans="3:11" s="68" customFormat="1" ht="11.25" x14ac:dyDescent="0.2">
      <c r="C556" s="22"/>
      <c r="D556" s="22"/>
      <c r="H556" s="22"/>
      <c r="K556" s="22"/>
    </row>
    <row r="557" spans="3:11" s="68" customFormat="1" ht="11.25" x14ac:dyDescent="0.2">
      <c r="C557" s="22"/>
      <c r="D557" s="22"/>
      <c r="H557" s="22"/>
      <c r="K557" s="22"/>
    </row>
    <row r="558" spans="3:11" s="68" customFormat="1" ht="11.25" x14ac:dyDescent="0.2">
      <c r="C558" s="22"/>
      <c r="D558" s="22"/>
      <c r="H558" s="22"/>
      <c r="K558" s="22"/>
    </row>
    <row r="559" spans="3:11" s="68" customFormat="1" ht="11.25" x14ac:dyDescent="0.2">
      <c r="C559" s="22"/>
      <c r="D559" s="22"/>
      <c r="H559" s="22"/>
      <c r="K559" s="22"/>
    </row>
    <row r="560" spans="3:11" s="68" customFormat="1" ht="11.25" x14ac:dyDescent="0.2">
      <c r="C560" s="22"/>
      <c r="D560" s="22"/>
      <c r="H560" s="22"/>
      <c r="K560" s="22"/>
    </row>
    <row r="561" spans="3:11" s="68" customFormat="1" ht="11.25" x14ac:dyDescent="0.2">
      <c r="C561" s="22"/>
      <c r="D561" s="22"/>
      <c r="H561" s="22"/>
      <c r="K561" s="22"/>
    </row>
    <row r="562" spans="3:11" s="68" customFormat="1" ht="11.25" x14ac:dyDescent="0.2">
      <c r="C562" s="22"/>
      <c r="D562" s="22"/>
      <c r="H562" s="22"/>
      <c r="K562" s="22"/>
    </row>
    <row r="563" spans="3:11" s="68" customFormat="1" ht="11.25" x14ac:dyDescent="0.2">
      <c r="C563" s="22"/>
      <c r="D563" s="22"/>
      <c r="H563" s="22"/>
      <c r="K563" s="22"/>
    </row>
    <row r="564" spans="3:11" s="68" customFormat="1" ht="11.25" x14ac:dyDescent="0.2">
      <c r="C564" s="22"/>
      <c r="D564" s="22"/>
      <c r="H564" s="22"/>
      <c r="K564" s="22"/>
    </row>
    <row r="565" spans="3:11" s="68" customFormat="1" ht="11.25" x14ac:dyDescent="0.2">
      <c r="C565" s="22"/>
      <c r="D565" s="22"/>
      <c r="H565" s="22"/>
      <c r="K565" s="22"/>
    </row>
    <row r="566" spans="3:11" s="68" customFormat="1" ht="11.25" x14ac:dyDescent="0.2">
      <c r="C566" s="22"/>
      <c r="D566" s="22"/>
      <c r="H566" s="22"/>
      <c r="K566" s="22"/>
    </row>
    <row r="567" spans="3:11" s="68" customFormat="1" ht="11.25" x14ac:dyDescent="0.2">
      <c r="C567" s="22"/>
      <c r="D567" s="22"/>
      <c r="H567" s="22"/>
      <c r="K567" s="22"/>
    </row>
    <row r="568" spans="3:11" s="68" customFormat="1" ht="11.25" x14ac:dyDescent="0.2">
      <c r="C568" s="22"/>
      <c r="D568" s="22"/>
      <c r="H568" s="22"/>
      <c r="K568" s="22"/>
    </row>
    <row r="569" spans="3:11" s="68" customFormat="1" ht="11.25" x14ac:dyDescent="0.2">
      <c r="C569" s="22"/>
      <c r="D569" s="22"/>
      <c r="H569" s="22"/>
      <c r="K569" s="22"/>
    </row>
    <row r="570" spans="3:11" s="68" customFormat="1" ht="11.25" x14ac:dyDescent="0.2">
      <c r="C570" s="22"/>
      <c r="D570" s="22"/>
      <c r="H570" s="22"/>
      <c r="K570" s="22"/>
    </row>
    <row r="571" spans="3:11" s="68" customFormat="1" ht="11.25" x14ac:dyDescent="0.2">
      <c r="C571" s="22"/>
      <c r="D571" s="22"/>
      <c r="H571" s="22"/>
      <c r="K571" s="22"/>
    </row>
    <row r="572" spans="3:11" s="68" customFormat="1" ht="11.25" x14ac:dyDescent="0.2">
      <c r="C572" s="22"/>
      <c r="D572" s="22"/>
      <c r="H572" s="22"/>
      <c r="K572" s="22"/>
    </row>
    <row r="573" spans="3:11" s="68" customFormat="1" ht="11.25" x14ac:dyDescent="0.2">
      <c r="C573" s="22"/>
      <c r="D573" s="22"/>
      <c r="H573" s="22"/>
      <c r="K573" s="22"/>
    </row>
    <row r="574" spans="3:11" s="68" customFormat="1" ht="11.25" x14ac:dyDescent="0.2">
      <c r="C574" s="22"/>
      <c r="D574" s="22"/>
      <c r="H574" s="22"/>
      <c r="K574" s="22"/>
    </row>
    <row r="575" spans="3:11" s="68" customFormat="1" ht="11.25" x14ac:dyDescent="0.2">
      <c r="C575" s="22"/>
      <c r="D575" s="22"/>
      <c r="H575" s="22"/>
      <c r="K575" s="22"/>
    </row>
    <row r="576" spans="3:11" s="68" customFormat="1" ht="11.25" x14ac:dyDescent="0.2">
      <c r="C576" s="22"/>
      <c r="D576" s="22"/>
      <c r="H576" s="22"/>
      <c r="K576" s="22"/>
    </row>
    <row r="577" spans="3:11" s="68" customFormat="1" ht="11.25" x14ac:dyDescent="0.2">
      <c r="C577" s="22"/>
      <c r="D577" s="22"/>
      <c r="H577" s="22"/>
      <c r="K577" s="22"/>
    </row>
    <row r="578" spans="3:11" s="68" customFormat="1" ht="11.25" x14ac:dyDescent="0.2">
      <c r="C578" s="22"/>
      <c r="D578" s="22"/>
      <c r="H578" s="22"/>
      <c r="K578" s="22"/>
    </row>
    <row r="579" spans="3:11" s="68" customFormat="1" ht="11.25" x14ac:dyDescent="0.2">
      <c r="C579" s="22"/>
      <c r="D579" s="22"/>
      <c r="H579" s="22"/>
      <c r="K579" s="22"/>
    </row>
    <row r="580" spans="3:11" s="68" customFormat="1" ht="11.25" x14ac:dyDescent="0.2">
      <c r="C580" s="22"/>
      <c r="D580" s="22"/>
      <c r="H580" s="22"/>
      <c r="K580" s="22"/>
    </row>
    <row r="581" spans="3:11" s="68" customFormat="1" ht="11.25" x14ac:dyDescent="0.2">
      <c r="C581" s="22"/>
      <c r="D581" s="22"/>
      <c r="H581" s="22"/>
      <c r="K581" s="22"/>
    </row>
    <row r="582" spans="3:11" s="68" customFormat="1" ht="11.25" x14ac:dyDescent="0.2">
      <c r="C582" s="22"/>
      <c r="D582" s="22"/>
      <c r="H582" s="22"/>
      <c r="K582" s="22"/>
    </row>
    <row r="583" spans="3:11" s="68" customFormat="1" ht="11.25" x14ac:dyDescent="0.2">
      <c r="C583" s="22"/>
      <c r="D583" s="22"/>
      <c r="H583" s="22"/>
      <c r="K583" s="22"/>
    </row>
    <row r="584" spans="3:11" s="68" customFormat="1" ht="11.25" x14ac:dyDescent="0.2">
      <c r="C584" s="22"/>
      <c r="D584" s="22"/>
      <c r="H584" s="22"/>
      <c r="K584" s="22"/>
    </row>
    <row r="585" spans="3:11" s="68" customFormat="1" ht="11.25" x14ac:dyDescent="0.2">
      <c r="C585" s="22"/>
      <c r="D585" s="22"/>
      <c r="H585" s="22"/>
      <c r="K585" s="22"/>
    </row>
    <row r="586" spans="3:11" s="68" customFormat="1" ht="11.25" x14ac:dyDescent="0.2">
      <c r="C586" s="22"/>
      <c r="D586" s="22"/>
      <c r="H586" s="22"/>
      <c r="K586" s="22"/>
    </row>
    <row r="587" spans="3:11" s="68" customFormat="1" ht="11.25" x14ac:dyDescent="0.2">
      <c r="C587" s="22"/>
      <c r="D587" s="22"/>
      <c r="H587" s="22"/>
      <c r="K587" s="22"/>
    </row>
    <row r="588" spans="3:11" s="68" customFormat="1" ht="11.25" x14ac:dyDescent="0.2">
      <c r="C588" s="22"/>
      <c r="D588" s="22"/>
      <c r="H588" s="22"/>
      <c r="K588" s="22"/>
    </row>
    <row r="589" spans="3:11" s="68" customFormat="1" ht="11.25" x14ac:dyDescent="0.2">
      <c r="C589" s="22"/>
      <c r="D589" s="22"/>
      <c r="H589" s="22"/>
      <c r="K589" s="22"/>
    </row>
    <row r="590" spans="3:11" s="68" customFormat="1" ht="11.25" x14ac:dyDescent="0.2">
      <c r="C590" s="22"/>
      <c r="D590" s="22"/>
      <c r="H590" s="22"/>
      <c r="K590" s="22"/>
    </row>
    <row r="591" spans="3:11" s="68" customFormat="1" ht="11.25" x14ac:dyDescent="0.2">
      <c r="C591" s="22"/>
      <c r="D591" s="22"/>
      <c r="H591" s="22"/>
      <c r="K591" s="22"/>
    </row>
    <row r="592" spans="3:11" s="68" customFormat="1" ht="11.25" x14ac:dyDescent="0.2">
      <c r="C592" s="22"/>
      <c r="D592" s="22"/>
      <c r="H592" s="22"/>
      <c r="K592" s="22"/>
    </row>
    <row r="593" spans="3:11" s="68" customFormat="1" ht="11.25" x14ac:dyDescent="0.2">
      <c r="C593" s="22"/>
      <c r="D593" s="22"/>
      <c r="H593" s="22"/>
      <c r="K593" s="22"/>
    </row>
    <row r="594" spans="3:11" s="68" customFormat="1" ht="11.25" x14ac:dyDescent="0.2">
      <c r="C594" s="22"/>
      <c r="D594" s="22"/>
      <c r="H594" s="22"/>
      <c r="K594" s="22"/>
    </row>
    <row r="595" spans="3:11" s="68" customFormat="1" ht="11.25" x14ac:dyDescent="0.2">
      <c r="C595" s="22"/>
      <c r="D595" s="22"/>
      <c r="H595" s="22"/>
      <c r="K595" s="22"/>
    </row>
    <row r="596" spans="3:11" s="68" customFormat="1" ht="11.25" x14ac:dyDescent="0.2">
      <c r="C596" s="22"/>
      <c r="D596" s="22"/>
      <c r="H596" s="22"/>
      <c r="K596" s="22"/>
    </row>
    <row r="597" spans="3:11" s="68" customFormat="1" ht="11.25" x14ac:dyDescent="0.2">
      <c r="C597" s="22"/>
      <c r="D597" s="22"/>
      <c r="H597" s="22"/>
      <c r="K597" s="22"/>
    </row>
    <row r="598" spans="3:11" s="68" customFormat="1" ht="11.25" x14ac:dyDescent="0.2">
      <c r="C598" s="22"/>
      <c r="D598" s="22"/>
      <c r="H598" s="22"/>
      <c r="K598" s="22"/>
    </row>
    <row r="599" spans="3:11" s="68" customFormat="1" ht="11.25" x14ac:dyDescent="0.2">
      <c r="C599" s="22"/>
      <c r="D599" s="22"/>
      <c r="H599" s="22"/>
      <c r="K599" s="22"/>
    </row>
    <row r="600" spans="3:11" s="68" customFormat="1" ht="11.25" x14ac:dyDescent="0.2">
      <c r="C600" s="22"/>
      <c r="D600" s="22"/>
      <c r="H600" s="22"/>
      <c r="K600" s="22"/>
    </row>
    <row r="601" spans="3:11" s="68" customFormat="1" ht="11.25" x14ac:dyDescent="0.2">
      <c r="C601" s="22"/>
      <c r="D601" s="22"/>
      <c r="H601" s="22"/>
      <c r="K601" s="22"/>
    </row>
    <row r="602" spans="3:11" s="68" customFormat="1" ht="11.25" x14ac:dyDescent="0.2">
      <c r="C602" s="22"/>
      <c r="D602" s="22"/>
      <c r="H602" s="22"/>
      <c r="K602" s="22"/>
    </row>
    <row r="603" spans="3:11" s="68" customFormat="1" ht="11.25" x14ac:dyDescent="0.2">
      <c r="C603" s="22"/>
      <c r="D603" s="22"/>
      <c r="H603" s="22"/>
      <c r="K603" s="22"/>
    </row>
    <row r="604" spans="3:11" s="68" customFormat="1" ht="11.25" x14ac:dyDescent="0.2">
      <c r="C604" s="22"/>
      <c r="D604" s="22"/>
      <c r="H604" s="22"/>
      <c r="K604" s="22"/>
    </row>
    <row r="605" spans="3:11" s="68" customFormat="1" ht="11.25" x14ac:dyDescent="0.2">
      <c r="C605" s="22"/>
      <c r="D605" s="22"/>
      <c r="H605" s="22"/>
      <c r="K605" s="22"/>
    </row>
    <row r="606" spans="3:11" s="68" customFormat="1" ht="11.25" x14ac:dyDescent="0.2">
      <c r="C606" s="22"/>
      <c r="D606" s="22"/>
      <c r="H606" s="22"/>
      <c r="K606" s="22"/>
    </row>
    <row r="607" spans="3:11" s="68" customFormat="1" ht="11.25" x14ac:dyDescent="0.2">
      <c r="C607" s="22"/>
      <c r="D607" s="22"/>
      <c r="H607" s="22"/>
      <c r="K607" s="22"/>
    </row>
    <row r="608" spans="3:11" s="68" customFormat="1" ht="11.25" x14ac:dyDescent="0.2">
      <c r="C608" s="22"/>
      <c r="D608" s="22"/>
      <c r="H608" s="22"/>
      <c r="K608" s="22"/>
    </row>
    <row r="609" spans="3:11" s="68" customFormat="1" ht="11.25" x14ac:dyDescent="0.2">
      <c r="C609" s="22"/>
      <c r="D609" s="22"/>
      <c r="H609" s="22"/>
      <c r="K609" s="22"/>
    </row>
    <row r="610" spans="3:11" s="68" customFormat="1" ht="11.25" x14ac:dyDescent="0.2">
      <c r="C610" s="22"/>
      <c r="D610" s="22"/>
      <c r="H610" s="22"/>
      <c r="K610" s="22"/>
    </row>
    <row r="611" spans="3:11" s="68" customFormat="1" ht="11.25" x14ac:dyDescent="0.2">
      <c r="C611" s="22"/>
      <c r="D611" s="22"/>
      <c r="H611" s="22"/>
      <c r="K611" s="22"/>
    </row>
    <row r="612" spans="3:11" s="68" customFormat="1" ht="11.25" x14ac:dyDescent="0.2">
      <c r="C612" s="22"/>
      <c r="D612" s="22"/>
      <c r="H612" s="22"/>
      <c r="K612" s="22"/>
    </row>
    <row r="613" spans="3:11" s="68" customFormat="1" ht="11.25" x14ac:dyDescent="0.2">
      <c r="C613" s="22"/>
      <c r="D613" s="22"/>
      <c r="H613" s="22"/>
      <c r="K613" s="22"/>
    </row>
    <row r="614" spans="3:11" s="68" customFormat="1" ht="11.25" x14ac:dyDescent="0.2">
      <c r="C614" s="22"/>
      <c r="D614" s="22"/>
      <c r="H614" s="22"/>
      <c r="K614" s="22"/>
    </row>
    <row r="615" spans="3:11" s="68" customFormat="1" ht="11.25" x14ac:dyDescent="0.2">
      <c r="C615" s="22"/>
      <c r="D615" s="22"/>
      <c r="H615" s="22"/>
      <c r="K615" s="22"/>
    </row>
    <row r="616" spans="3:11" s="68" customFormat="1" ht="11.25" x14ac:dyDescent="0.2">
      <c r="C616" s="22"/>
      <c r="D616" s="22"/>
      <c r="H616" s="22"/>
      <c r="K616" s="22"/>
    </row>
    <row r="617" spans="3:11" s="68" customFormat="1" ht="11.25" x14ac:dyDescent="0.2">
      <c r="C617" s="22"/>
      <c r="D617" s="22"/>
      <c r="H617" s="22"/>
      <c r="K617" s="22"/>
    </row>
    <row r="618" spans="3:11" s="68" customFormat="1" ht="11.25" x14ac:dyDescent="0.2">
      <c r="C618" s="22"/>
      <c r="D618" s="22"/>
      <c r="H618" s="22"/>
      <c r="K618" s="22"/>
    </row>
    <row r="619" spans="3:11" s="68" customFormat="1" ht="11.25" x14ac:dyDescent="0.2">
      <c r="C619" s="22"/>
      <c r="D619" s="22"/>
      <c r="H619" s="22"/>
      <c r="K619" s="22"/>
    </row>
    <row r="620" spans="3:11" s="68" customFormat="1" ht="11.25" x14ac:dyDescent="0.2">
      <c r="C620" s="22"/>
      <c r="D620" s="22"/>
      <c r="H620" s="22"/>
      <c r="K620" s="22"/>
    </row>
    <row r="621" spans="3:11" s="68" customFormat="1" ht="11.25" x14ac:dyDescent="0.2">
      <c r="C621" s="22"/>
      <c r="D621" s="22"/>
      <c r="H621" s="22"/>
      <c r="K621" s="22"/>
    </row>
    <row r="622" spans="3:11" s="68" customFormat="1" ht="11.25" x14ac:dyDescent="0.2">
      <c r="C622" s="22"/>
      <c r="D622" s="22"/>
      <c r="H622" s="22"/>
      <c r="K622" s="22"/>
    </row>
    <row r="623" spans="3:11" s="68" customFormat="1" ht="11.25" x14ac:dyDescent="0.2">
      <c r="C623" s="22"/>
      <c r="D623" s="22"/>
      <c r="H623" s="22"/>
      <c r="K623" s="22"/>
    </row>
    <row r="624" spans="3:11" s="68" customFormat="1" ht="11.25" x14ac:dyDescent="0.2">
      <c r="C624" s="22"/>
      <c r="D624" s="22"/>
      <c r="H624" s="22"/>
      <c r="K624" s="22"/>
    </row>
    <row r="625" spans="3:11" s="68" customFormat="1" ht="11.25" x14ac:dyDescent="0.2">
      <c r="C625" s="22"/>
      <c r="D625" s="22"/>
      <c r="H625" s="22"/>
      <c r="K625" s="22"/>
    </row>
    <row r="626" spans="3:11" s="68" customFormat="1" ht="11.25" x14ac:dyDescent="0.2">
      <c r="C626" s="22"/>
      <c r="D626" s="22"/>
      <c r="H626" s="22"/>
      <c r="K626" s="22"/>
    </row>
    <row r="627" spans="3:11" s="68" customFormat="1" ht="11.25" x14ac:dyDescent="0.2">
      <c r="C627" s="22"/>
      <c r="D627" s="22"/>
      <c r="H627" s="22"/>
      <c r="K627" s="22"/>
    </row>
    <row r="628" spans="3:11" s="68" customFormat="1" ht="11.25" x14ac:dyDescent="0.2">
      <c r="C628" s="22"/>
      <c r="D628" s="22"/>
      <c r="H628" s="22"/>
      <c r="K628" s="22"/>
    </row>
    <row r="629" spans="3:11" s="68" customFormat="1" ht="11.25" x14ac:dyDescent="0.2">
      <c r="C629" s="22"/>
      <c r="D629" s="22"/>
      <c r="H629" s="22"/>
      <c r="K629" s="22"/>
    </row>
    <row r="630" spans="3:11" s="68" customFormat="1" ht="11.25" x14ac:dyDescent="0.2">
      <c r="C630" s="22"/>
      <c r="D630" s="22"/>
      <c r="H630" s="22"/>
      <c r="K630" s="22"/>
    </row>
    <row r="631" spans="3:11" s="68" customFormat="1" ht="11.25" x14ac:dyDescent="0.2">
      <c r="C631" s="22"/>
      <c r="D631" s="22"/>
      <c r="H631" s="22"/>
      <c r="K631" s="22"/>
    </row>
    <row r="632" spans="3:11" s="68" customFormat="1" ht="11.25" x14ac:dyDescent="0.2">
      <c r="C632" s="22"/>
      <c r="D632" s="22"/>
      <c r="H632" s="22"/>
      <c r="K632" s="22"/>
    </row>
    <row r="633" spans="3:11" s="68" customFormat="1" ht="11.25" x14ac:dyDescent="0.2">
      <c r="C633" s="22"/>
      <c r="D633" s="22"/>
      <c r="H633" s="22"/>
      <c r="K633" s="22"/>
    </row>
    <row r="634" spans="3:11" s="68" customFormat="1" ht="11.25" x14ac:dyDescent="0.2">
      <c r="C634" s="22"/>
      <c r="D634" s="22"/>
      <c r="H634" s="22"/>
      <c r="K634" s="22"/>
    </row>
    <row r="635" spans="3:11" s="68" customFormat="1" ht="11.25" x14ac:dyDescent="0.2">
      <c r="C635" s="22"/>
      <c r="D635" s="22"/>
      <c r="H635" s="22"/>
      <c r="K635" s="22"/>
    </row>
    <row r="636" spans="3:11" s="68" customFormat="1" ht="11.25" x14ac:dyDescent="0.2">
      <c r="C636" s="22"/>
      <c r="D636" s="22"/>
      <c r="H636" s="22"/>
      <c r="K636" s="22"/>
    </row>
    <row r="637" spans="3:11" s="68" customFormat="1" ht="11.25" x14ac:dyDescent="0.2">
      <c r="C637" s="22"/>
      <c r="D637" s="22"/>
      <c r="H637" s="22"/>
      <c r="K637" s="22"/>
    </row>
    <row r="638" spans="3:11" s="68" customFormat="1" ht="11.25" x14ac:dyDescent="0.2">
      <c r="C638" s="22"/>
      <c r="D638" s="22"/>
      <c r="H638" s="22"/>
      <c r="K638" s="22"/>
    </row>
    <row r="639" spans="3:11" s="68" customFormat="1" ht="11.25" x14ac:dyDescent="0.2">
      <c r="C639" s="22"/>
      <c r="D639" s="22"/>
      <c r="H639" s="22"/>
      <c r="K639" s="22"/>
    </row>
    <row r="640" spans="3:11" s="68" customFormat="1" ht="11.25" x14ac:dyDescent="0.2">
      <c r="C640" s="22"/>
      <c r="D640" s="22"/>
      <c r="H640" s="22"/>
      <c r="K640" s="22"/>
    </row>
    <row r="641" spans="3:11" s="68" customFormat="1" ht="11.25" x14ac:dyDescent="0.2">
      <c r="C641" s="22"/>
      <c r="D641" s="22"/>
      <c r="H641" s="22"/>
      <c r="K641" s="22"/>
    </row>
    <row r="642" spans="3:11" s="68" customFormat="1" ht="11.25" x14ac:dyDescent="0.2">
      <c r="C642" s="22"/>
      <c r="D642" s="22"/>
      <c r="H642" s="22"/>
      <c r="K642" s="22"/>
    </row>
    <row r="643" spans="3:11" s="68" customFormat="1" ht="11.25" x14ac:dyDescent="0.2">
      <c r="C643" s="22"/>
      <c r="D643" s="22"/>
      <c r="H643" s="22"/>
      <c r="K643" s="22"/>
    </row>
    <row r="644" spans="3:11" s="68" customFormat="1" ht="11.25" x14ac:dyDescent="0.2">
      <c r="C644" s="22"/>
      <c r="D644" s="22"/>
      <c r="H644" s="22"/>
      <c r="K644" s="22"/>
    </row>
    <row r="645" spans="3:11" s="68" customFormat="1" ht="11.25" x14ac:dyDescent="0.2">
      <c r="C645" s="22"/>
      <c r="D645" s="22"/>
      <c r="H645" s="22"/>
      <c r="K645" s="22"/>
    </row>
    <row r="646" spans="3:11" s="68" customFormat="1" ht="11.25" x14ac:dyDescent="0.2">
      <c r="C646" s="22"/>
      <c r="D646" s="22"/>
      <c r="H646" s="22"/>
      <c r="K646" s="22"/>
    </row>
    <row r="647" spans="3:11" s="68" customFormat="1" ht="11.25" x14ac:dyDescent="0.2">
      <c r="C647" s="22"/>
      <c r="D647" s="22"/>
      <c r="H647" s="22"/>
      <c r="K647" s="22"/>
    </row>
    <row r="648" spans="3:11" s="68" customFormat="1" ht="11.25" x14ac:dyDescent="0.2">
      <c r="C648" s="22"/>
      <c r="D648" s="22"/>
      <c r="H648" s="22"/>
      <c r="K648" s="22"/>
    </row>
    <row r="649" spans="3:11" s="68" customFormat="1" ht="11.25" x14ac:dyDescent="0.2">
      <c r="C649" s="22"/>
      <c r="D649" s="22"/>
      <c r="H649" s="22"/>
      <c r="K649" s="22"/>
    </row>
    <row r="650" spans="3:11" s="68" customFormat="1" ht="11.25" x14ac:dyDescent="0.2">
      <c r="C650" s="22"/>
      <c r="D650" s="22"/>
      <c r="H650" s="22"/>
      <c r="K650" s="22"/>
    </row>
    <row r="651" spans="3:11" s="68" customFormat="1" ht="11.25" x14ac:dyDescent="0.2">
      <c r="C651" s="22"/>
      <c r="D651" s="22"/>
      <c r="H651" s="22"/>
      <c r="K651" s="22"/>
    </row>
    <row r="652" spans="3:11" s="68" customFormat="1" ht="11.25" x14ac:dyDescent="0.2">
      <c r="C652" s="22"/>
      <c r="D652" s="22"/>
      <c r="H652" s="22"/>
      <c r="K652" s="22"/>
    </row>
    <row r="653" spans="3:11" s="68" customFormat="1" ht="11.25" x14ac:dyDescent="0.2">
      <c r="C653" s="22"/>
      <c r="D653" s="22"/>
      <c r="H653" s="22"/>
      <c r="K653" s="22"/>
    </row>
    <row r="654" spans="3:11" s="68" customFormat="1" ht="11.25" x14ac:dyDescent="0.2">
      <c r="C654" s="22"/>
      <c r="D654" s="22"/>
      <c r="H654" s="22"/>
      <c r="K654" s="22"/>
    </row>
    <row r="655" spans="3:11" s="68" customFormat="1" ht="11.25" x14ac:dyDescent="0.2">
      <c r="C655" s="22"/>
      <c r="D655" s="22"/>
      <c r="H655" s="22"/>
      <c r="K655" s="22"/>
    </row>
    <row r="656" spans="3:11" s="68" customFormat="1" ht="11.25" x14ac:dyDescent="0.2">
      <c r="C656" s="22"/>
      <c r="D656" s="22"/>
      <c r="H656" s="22"/>
      <c r="K656" s="22"/>
    </row>
    <row r="657" spans="3:11" s="68" customFormat="1" ht="11.25" x14ac:dyDescent="0.2">
      <c r="C657" s="22"/>
      <c r="D657" s="22"/>
      <c r="H657" s="22"/>
      <c r="K657" s="22"/>
    </row>
    <row r="658" spans="3:11" s="68" customFormat="1" ht="11.25" x14ac:dyDescent="0.2">
      <c r="C658" s="22"/>
      <c r="D658" s="22"/>
      <c r="H658" s="22"/>
      <c r="K658" s="22"/>
    </row>
    <row r="659" spans="3:11" s="68" customFormat="1" ht="11.25" x14ac:dyDescent="0.2">
      <c r="C659" s="22"/>
      <c r="D659" s="22"/>
      <c r="H659" s="22"/>
      <c r="K659" s="22"/>
    </row>
    <row r="660" spans="3:11" s="68" customFormat="1" ht="11.25" x14ac:dyDescent="0.2">
      <c r="C660" s="22"/>
      <c r="D660" s="22"/>
      <c r="H660" s="22"/>
      <c r="K660" s="22"/>
    </row>
    <row r="661" spans="3:11" s="68" customFormat="1" ht="11.25" x14ac:dyDescent="0.2">
      <c r="C661" s="22"/>
      <c r="D661" s="22"/>
      <c r="H661" s="22"/>
      <c r="K661" s="22"/>
    </row>
    <row r="662" spans="3:11" s="68" customFormat="1" ht="11.25" x14ac:dyDescent="0.2">
      <c r="C662" s="22"/>
      <c r="D662" s="22"/>
      <c r="H662" s="22"/>
      <c r="K662" s="22"/>
    </row>
    <row r="663" spans="3:11" s="68" customFormat="1" ht="11.25" x14ac:dyDescent="0.2">
      <c r="C663" s="22"/>
      <c r="D663" s="22"/>
      <c r="H663" s="22"/>
      <c r="K663" s="22"/>
    </row>
    <row r="664" spans="3:11" s="68" customFormat="1" ht="11.25" x14ac:dyDescent="0.2">
      <c r="C664" s="22"/>
      <c r="D664" s="22"/>
      <c r="H664" s="22"/>
      <c r="K664" s="22"/>
    </row>
    <row r="665" spans="3:11" s="68" customFormat="1" ht="11.25" x14ac:dyDescent="0.2">
      <c r="C665" s="22"/>
      <c r="D665" s="22"/>
      <c r="H665" s="22"/>
      <c r="K665" s="22"/>
    </row>
    <row r="666" spans="3:11" s="68" customFormat="1" ht="11.25" x14ac:dyDescent="0.2">
      <c r="C666" s="22"/>
      <c r="D666" s="22"/>
      <c r="H666" s="22"/>
      <c r="K666" s="22"/>
    </row>
    <row r="667" spans="3:11" s="68" customFormat="1" ht="11.25" x14ac:dyDescent="0.2">
      <c r="C667" s="22"/>
      <c r="D667" s="22"/>
      <c r="H667" s="22"/>
      <c r="K667" s="22"/>
    </row>
    <row r="668" spans="3:11" s="68" customFormat="1" ht="11.25" x14ac:dyDescent="0.2">
      <c r="C668" s="22"/>
      <c r="D668" s="22"/>
      <c r="H668" s="22"/>
      <c r="K668" s="22"/>
    </row>
    <row r="669" spans="3:11" s="68" customFormat="1" ht="11.25" x14ac:dyDescent="0.2">
      <c r="C669" s="22"/>
      <c r="D669" s="22"/>
      <c r="H669" s="22"/>
      <c r="K669" s="22"/>
    </row>
    <row r="670" spans="3:11" s="68" customFormat="1" ht="11.25" x14ac:dyDescent="0.2">
      <c r="C670" s="22"/>
      <c r="D670" s="22"/>
      <c r="H670" s="22"/>
      <c r="K670" s="22"/>
    </row>
    <row r="671" spans="3:11" s="68" customFormat="1" ht="11.25" x14ac:dyDescent="0.2">
      <c r="C671" s="22"/>
      <c r="D671" s="22"/>
      <c r="H671" s="22"/>
      <c r="K671" s="22"/>
    </row>
    <row r="672" spans="3:11" s="68" customFormat="1" ht="11.25" x14ac:dyDescent="0.2">
      <c r="C672" s="22"/>
      <c r="D672" s="22"/>
      <c r="H672" s="22"/>
      <c r="K672" s="22"/>
    </row>
    <row r="673" spans="3:11" s="68" customFormat="1" ht="11.25" x14ac:dyDescent="0.2">
      <c r="C673" s="22"/>
      <c r="D673" s="22"/>
      <c r="H673" s="22"/>
      <c r="K673" s="22"/>
    </row>
    <row r="674" spans="3:11" s="68" customFormat="1" ht="11.25" x14ac:dyDescent="0.2">
      <c r="C674" s="22"/>
      <c r="D674" s="22"/>
      <c r="H674" s="22"/>
      <c r="K674" s="22"/>
    </row>
    <row r="675" spans="3:11" s="68" customFormat="1" ht="11.25" x14ac:dyDescent="0.2">
      <c r="C675" s="22"/>
      <c r="D675" s="22"/>
      <c r="H675" s="22"/>
      <c r="K675" s="22"/>
    </row>
    <row r="676" spans="3:11" s="68" customFormat="1" ht="11.25" x14ac:dyDescent="0.2">
      <c r="C676" s="22"/>
      <c r="D676" s="22"/>
      <c r="H676" s="22"/>
      <c r="K676" s="22"/>
    </row>
    <row r="677" spans="3:11" s="68" customFormat="1" ht="11.25" x14ac:dyDescent="0.2">
      <c r="C677" s="22"/>
      <c r="D677" s="22"/>
      <c r="H677" s="22"/>
      <c r="K677" s="22"/>
    </row>
    <row r="678" spans="3:11" s="68" customFormat="1" ht="11.25" x14ac:dyDescent="0.2">
      <c r="C678" s="22"/>
      <c r="D678" s="22"/>
      <c r="H678" s="22"/>
      <c r="K678" s="22"/>
    </row>
    <row r="679" spans="3:11" s="68" customFormat="1" ht="11.25" x14ac:dyDescent="0.2">
      <c r="C679" s="22"/>
      <c r="D679" s="22"/>
      <c r="H679" s="22"/>
      <c r="K679" s="22"/>
    </row>
    <row r="680" spans="3:11" s="68" customFormat="1" ht="11.25" x14ac:dyDescent="0.2">
      <c r="C680" s="22"/>
      <c r="D680" s="22"/>
      <c r="H680" s="22"/>
      <c r="K680" s="22"/>
    </row>
    <row r="681" spans="3:11" s="68" customFormat="1" ht="11.25" x14ac:dyDescent="0.2">
      <c r="C681" s="22"/>
      <c r="D681" s="22"/>
      <c r="H681" s="22"/>
      <c r="K681" s="22"/>
    </row>
    <row r="682" spans="3:11" s="68" customFormat="1" ht="11.25" x14ac:dyDescent="0.2">
      <c r="C682" s="22"/>
      <c r="D682" s="22"/>
      <c r="H682" s="22"/>
      <c r="K682" s="22"/>
    </row>
    <row r="683" spans="3:11" s="68" customFormat="1" ht="11.25" x14ac:dyDescent="0.2">
      <c r="C683" s="22"/>
      <c r="D683" s="22"/>
      <c r="H683" s="22"/>
      <c r="K683" s="22"/>
    </row>
    <row r="684" spans="3:11" s="68" customFormat="1" ht="11.25" x14ac:dyDescent="0.2">
      <c r="C684" s="22"/>
      <c r="D684" s="22"/>
      <c r="H684" s="22"/>
      <c r="K684" s="22"/>
    </row>
    <row r="685" spans="3:11" s="68" customFormat="1" ht="11.25" x14ac:dyDescent="0.2">
      <c r="C685" s="22"/>
      <c r="D685" s="22"/>
      <c r="H685" s="22"/>
      <c r="K685" s="22"/>
    </row>
    <row r="686" spans="3:11" s="68" customFormat="1" ht="11.25" x14ac:dyDescent="0.2">
      <c r="C686" s="22"/>
      <c r="D686" s="22"/>
      <c r="H686" s="22"/>
      <c r="K686" s="22"/>
    </row>
    <row r="687" spans="3:11" s="68" customFormat="1" ht="11.25" x14ac:dyDescent="0.2">
      <c r="C687" s="22"/>
      <c r="D687" s="22"/>
      <c r="H687" s="22"/>
      <c r="K687" s="22"/>
    </row>
    <row r="688" spans="3:11" s="68" customFormat="1" ht="11.25" x14ac:dyDescent="0.2">
      <c r="C688" s="22"/>
      <c r="D688" s="22"/>
      <c r="H688" s="22"/>
      <c r="K688" s="22"/>
    </row>
    <row r="689" spans="3:11" s="68" customFormat="1" ht="11.25" x14ac:dyDescent="0.2">
      <c r="C689" s="22"/>
      <c r="D689" s="22"/>
      <c r="H689" s="22"/>
      <c r="K689" s="22"/>
    </row>
    <row r="690" spans="3:11" s="68" customFormat="1" ht="11.25" x14ac:dyDescent="0.2">
      <c r="C690" s="22"/>
      <c r="D690" s="22"/>
      <c r="H690" s="22"/>
      <c r="K690" s="22"/>
    </row>
    <row r="691" spans="3:11" s="68" customFormat="1" ht="11.25" x14ac:dyDescent="0.2">
      <c r="C691" s="22"/>
      <c r="D691" s="22"/>
      <c r="H691" s="22"/>
      <c r="K691" s="22"/>
    </row>
    <row r="692" spans="3:11" s="68" customFormat="1" ht="11.25" x14ac:dyDescent="0.2">
      <c r="C692" s="22"/>
      <c r="D692" s="22"/>
      <c r="H692" s="22"/>
      <c r="K692" s="22"/>
    </row>
    <row r="693" spans="3:11" s="68" customFormat="1" ht="11.25" x14ac:dyDescent="0.2">
      <c r="C693" s="22"/>
      <c r="D693" s="22"/>
      <c r="H693" s="22"/>
      <c r="K693" s="22"/>
    </row>
    <row r="694" spans="3:11" s="68" customFormat="1" ht="11.25" x14ac:dyDescent="0.2">
      <c r="C694" s="22"/>
      <c r="D694" s="22"/>
      <c r="H694" s="22"/>
      <c r="K694" s="22"/>
    </row>
    <row r="695" spans="3:11" s="68" customFormat="1" ht="11.25" x14ac:dyDescent="0.2">
      <c r="C695" s="22"/>
      <c r="D695" s="22"/>
      <c r="H695" s="22"/>
      <c r="K695" s="22"/>
    </row>
    <row r="696" spans="3:11" s="68" customFormat="1" ht="11.25" x14ac:dyDescent="0.2">
      <c r="C696" s="22"/>
      <c r="D696" s="22"/>
      <c r="H696" s="22"/>
      <c r="K696" s="22"/>
    </row>
    <row r="697" spans="3:11" s="68" customFormat="1" ht="11.25" x14ac:dyDescent="0.2">
      <c r="C697" s="22"/>
      <c r="D697" s="22"/>
      <c r="H697" s="22"/>
      <c r="K697" s="22"/>
    </row>
    <row r="698" spans="3:11" s="68" customFormat="1" ht="11.25" x14ac:dyDescent="0.2">
      <c r="C698" s="22"/>
      <c r="D698" s="22"/>
      <c r="H698" s="22"/>
      <c r="K698" s="22"/>
    </row>
    <row r="699" spans="3:11" s="68" customFormat="1" ht="11.25" x14ac:dyDescent="0.2">
      <c r="C699" s="22"/>
      <c r="D699" s="22"/>
      <c r="H699" s="22"/>
      <c r="K699" s="22"/>
    </row>
    <row r="700" spans="3:11" s="68" customFormat="1" ht="11.25" x14ac:dyDescent="0.2">
      <c r="C700" s="22"/>
      <c r="D700" s="22"/>
      <c r="H700" s="22"/>
      <c r="K700" s="22"/>
    </row>
    <row r="701" spans="3:11" s="68" customFormat="1" ht="11.25" x14ac:dyDescent="0.2">
      <c r="C701" s="22"/>
      <c r="D701" s="22"/>
      <c r="H701" s="22"/>
      <c r="K701" s="22"/>
    </row>
    <row r="702" spans="3:11" s="68" customFormat="1" ht="11.25" x14ac:dyDescent="0.2">
      <c r="C702" s="22"/>
      <c r="D702" s="22"/>
      <c r="H702" s="22"/>
      <c r="K702" s="22"/>
    </row>
    <row r="703" spans="3:11" s="68" customFormat="1" ht="11.25" x14ac:dyDescent="0.2">
      <c r="C703" s="22"/>
      <c r="D703" s="22"/>
      <c r="H703" s="22"/>
      <c r="K703" s="22"/>
    </row>
    <row r="704" spans="3:11" s="68" customFormat="1" ht="11.25" x14ac:dyDescent="0.2">
      <c r="C704" s="22"/>
      <c r="D704" s="22"/>
      <c r="H704" s="22"/>
      <c r="K704" s="22"/>
    </row>
    <row r="705" spans="3:11" s="68" customFormat="1" ht="11.25" x14ac:dyDescent="0.2">
      <c r="C705" s="22"/>
      <c r="D705" s="22"/>
      <c r="H705" s="22"/>
      <c r="K705" s="22"/>
    </row>
    <row r="706" spans="3:11" s="68" customFormat="1" ht="11.25" x14ac:dyDescent="0.2">
      <c r="C706" s="22"/>
      <c r="D706" s="22"/>
      <c r="H706" s="22"/>
      <c r="K706" s="22"/>
    </row>
    <row r="707" spans="3:11" s="68" customFormat="1" ht="11.25" x14ac:dyDescent="0.2">
      <c r="C707" s="22"/>
      <c r="D707" s="22"/>
      <c r="H707" s="22"/>
      <c r="K707" s="22"/>
    </row>
    <row r="708" spans="3:11" s="68" customFormat="1" ht="11.25" x14ac:dyDescent="0.2">
      <c r="C708" s="22"/>
      <c r="D708" s="22"/>
      <c r="H708" s="22"/>
      <c r="K708" s="22"/>
    </row>
    <row r="709" spans="3:11" s="68" customFormat="1" ht="11.25" x14ac:dyDescent="0.2">
      <c r="C709" s="22"/>
      <c r="D709" s="22"/>
      <c r="H709" s="22"/>
      <c r="K709" s="22"/>
    </row>
    <row r="710" spans="3:11" s="68" customFormat="1" ht="11.25" x14ac:dyDescent="0.2">
      <c r="C710" s="22"/>
      <c r="D710" s="22"/>
      <c r="H710" s="22"/>
      <c r="K710" s="22"/>
    </row>
    <row r="711" spans="3:11" s="68" customFormat="1" ht="11.25" x14ac:dyDescent="0.2">
      <c r="C711" s="22"/>
      <c r="D711" s="22"/>
      <c r="H711" s="22"/>
      <c r="K711" s="22"/>
    </row>
    <row r="712" spans="3:11" s="68" customFormat="1" ht="11.25" x14ac:dyDescent="0.2">
      <c r="C712" s="22"/>
      <c r="D712" s="22"/>
      <c r="H712" s="22"/>
      <c r="K712" s="22"/>
    </row>
    <row r="713" spans="3:11" s="68" customFormat="1" ht="11.25" x14ac:dyDescent="0.2">
      <c r="C713" s="22"/>
      <c r="D713" s="22"/>
      <c r="H713" s="22"/>
      <c r="K713" s="22"/>
    </row>
    <row r="714" spans="3:11" s="68" customFormat="1" ht="11.25" x14ac:dyDescent="0.2">
      <c r="C714" s="22"/>
      <c r="D714" s="22"/>
      <c r="H714" s="22"/>
      <c r="K714" s="22"/>
    </row>
    <row r="715" spans="3:11" s="68" customFormat="1" ht="11.25" x14ac:dyDescent="0.2">
      <c r="C715" s="22"/>
      <c r="D715" s="22"/>
      <c r="H715" s="22"/>
      <c r="K715" s="22"/>
    </row>
    <row r="716" spans="3:11" s="68" customFormat="1" ht="11.25" x14ac:dyDescent="0.2">
      <c r="C716" s="22"/>
      <c r="D716" s="22"/>
      <c r="H716" s="22"/>
      <c r="K716" s="22"/>
    </row>
    <row r="717" spans="3:11" s="68" customFormat="1" ht="11.25" x14ac:dyDescent="0.2">
      <c r="C717" s="22"/>
      <c r="D717" s="22"/>
      <c r="H717" s="22"/>
      <c r="K717" s="22"/>
    </row>
    <row r="718" spans="3:11" s="68" customFormat="1" ht="11.25" x14ac:dyDescent="0.2">
      <c r="C718" s="22"/>
      <c r="D718" s="22"/>
      <c r="H718" s="22"/>
      <c r="K718" s="22"/>
    </row>
    <row r="719" spans="3:11" s="68" customFormat="1" ht="11.25" x14ac:dyDescent="0.2">
      <c r="C719" s="22"/>
      <c r="D719" s="22"/>
      <c r="H719" s="22"/>
      <c r="K719" s="22"/>
    </row>
    <row r="720" spans="3:11" s="68" customFormat="1" ht="11.25" x14ac:dyDescent="0.2">
      <c r="C720" s="22"/>
      <c r="D720" s="22"/>
      <c r="H720" s="22"/>
      <c r="K720" s="22"/>
    </row>
    <row r="721" spans="2:11" s="68" customFormat="1" ht="11.25" x14ac:dyDescent="0.2">
      <c r="C721" s="22"/>
      <c r="D721" s="22"/>
      <c r="H721" s="22"/>
      <c r="K721" s="22"/>
    </row>
    <row r="722" spans="2:11" s="68" customFormat="1" ht="11.25" x14ac:dyDescent="0.2">
      <c r="C722" s="22"/>
      <c r="D722" s="22"/>
      <c r="H722" s="22"/>
      <c r="K722" s="22"/>
    </row>
    <row r="723" spans="2:11" s="68" customFormat="1" ht="11.25" x14ac:dyDescent="0.2">
      <c r="C723" s="22"/>
      <c r="D723" s="22"/>
      <c r="H723" s="22"/>
      <c r="K723" s="22"/>
    </row>
    <row r="724" spans="2:11" s="68" customFormat="1" ht="11.25" x14ac:dyDescent="0.2">
      <c r="C724" s="22"/>
      <c r="D724" s="22"/>
      <c r="H724" s="22"/>
      <c r="K724" s="22"/>
    </row>
    <row r="725" spans="2:11" s="68" customFormat="1" ht="11.25" x14ac:dyDescent="0.2">
      <c r="C725" s="22"/>
      <c r="D725" s="22"/>
      <c r="H725" s="22"/>
      <c r="K725" s="22"/>
    </row>
    <row r="726" spans="2:11" s="68" customFormat="1" ht="11.25" x14ac:dyDescent="0.2">
      <c r="C726" s="22"/>
      <c r="D726" s="22"/>
      <c r="H726" s="22"/>
      <c r="K726" s="22"/>
    </row>
    <row r="727" spans="2:11" s="68" customFormat="1" ht="11.25" x14ac:dyDescent="0.2">
      <c r="C727" s="22"/>
      <c r="D727" s="22"/>
      <c r="H727" s="22"/>
      <c r="K727" s="22"/>
    </row>
    <row r="728" spans="2:11" s="68" customFormat="1" ht="11.25" x14ac:dyDescent="0.2">
      <c r="C728" s="22"/>
      <c r="D728" s="22"/>
      <c r="H728" s="22"/>
      <c r="K728" s="22"/>
    </row>
    <row r="729" spans="2:11" s="68" customFormat="1" x14ac:dyDescent="0.2">
      <c r="B729"/>
      <c r="C729" s="45"/>
      <c r="D729" s="22"/>
      <c r="H729" s="22"/>
      <c r="K729" s="22"/>
    </row>
    <row r="730" spans="2:11" s="68" customFormat="1" x14ac:dyDescent="0.2">
      <c r="B730"/>
      <c r="C730" s="45"/>
      <c r="D730" s="22"/>
      <c r="H730" s="22"/>
      <c r="K730" s="22"/>
    </row>
    <row r="731" spans="2:11" s="68" customFormat="1" x14ac:dyDescent="0.2">
      <c r="B731"/>
      <c r="C731" s="45"/>
      <c r="D731" s="22"/>
      <c r="H731" s="22"/>
      <c r="K731" s="22"/>
    </row>
    <row r="732" spans="2:11" s="68" customFormat="1" x14ac:dyDescent="0.2">
      <c r="B732"/>
      <c r="C732" s="45"/>
      <c r="D732" s="22"/>
      <c r="H732" s="22"/>
      <c r="K732" s="22"/>
    </row>
    <row r="733" spans="2:11" s="68" customFormat="1" x14ac:dyDescent="0.2">
      <c r="B733"/>
      <c r="C733" s="45"/>
      <c r="D733" s="22"/>
      <c r="H733" s="22"/>
      <c r="K733" s="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6B940-E287-457C-BCFB-4AC408688F7F}">
  <sheetPr>
    <tabColor rgb="FF92D050"/>
  </sheetPr>
  <dimension ref="A1:E730"/>
  <sheetViews>
    <sheetView workbookViewId="0">
      <pane xSplit="1" ySplit="7" topLeftCell="B8" activePane="bottomRight" state="frozen"/>
      <selection activeCell="A123" sqref="A123"/>
      <selection pane="topRight" activeCell="A123" sqref="A123"/>
      <selection pane="bottomLeft" activeCell="A123" sqref="A123"/>
      <selection pane="bottomRight" activeCell="D4" sqref="D4"/>
    </sheetView>
  </sheetViews>
  <sheetFormatPr baseColWidth="10" defaultRowHeight="12.75" x14ac:dyDescent="0.2"/>
  <cols>
    <col min="1" max="1" width="62" customWidth="1"/>
    <col min="2" max="3" width="12.7109375" style="45" customWidth="1"/>
    <col min="5" max="5" width="16.7109375" customWidth="1"/>
  </cols>
  <sheetData>
    <row r="1" spans="1:5" s="62" customFormat="1" ht="7.5" customHeight="1" x14ac:dyDescent="0.2">
      <c r="B1" s="63"/>
      <c r="C1" s="63"/>
    </row>
    <row r="2" spans="1:5" s="66" customFormat="1" ht="12" customHeight="1" x14ac:dyDescent="0.2">
      <c r="A2" s="64" t="s">
        <v>213</v>
      </c>
      <c r="B2" s="65"/>
      <c r="C2" s="65"/>
    </row>
    <row r="3" spans="1:5" s="66" customFormat="1" ht="13.5" customHeight="1" x14ac:dyDescent="0.2">
      <c r="A3" s="42" t="s">
        <v>249</v>
      </c>
      <c r="B3" s="65"/>
      <c r="C3" s="65"/>
    </row>
    <row r="4" spans="1:5" s="66" customFormat="1" ht="15" x14ac:dyDescent="0.2">
      <c r="A4" s="102"/>
      <c r="B4" s="65"/>
      <c r="C4" s="65"/>
    </row>
    <row r="5" spans="1:5" s="68" customFormat="1" ht="13.5" thickBot="1" x14ac:dyDescent="0.25">
      <c r="A5" s="67" t="s">
        <v>202</v>
      </c>
      <c r="B5" s="22"/>
      <c r="C5" s="22"/>
    </row>
    <row r="6" spans="1:5" s="68" customFormat="1" ht="13.9" customHeight="1" thickBot="1" x14ac:dyDescent="0.25">
      <c r="A6" s="217" t="s">
        <v>7</v>
      </c>
      <c r="B6" s="211">
        <v>2022</v>
      </c>
      <c r="C6" s="212">
        <v>2023</v>
      </c>
      <c r="D6" s="212">
        <v>2024</v>
      </c>
      <c r="E6" s="212">
        <v>2025</v>
      </c>
    </row>
    <row r="7" spans="1:5" s="46" customFormat="1" ht="24" x14ac:dyDescent="0.2">
      <c r="A7" s="218"/>
      <c r="B7" s="213" t="s">
        <v>214</v>
      </c>
      <c r="C7" s="214" t="s">
        <v>214</v>
      </c>
      <c r="D7" s="214" t="s">
        <v>214</v>
      </c>
      <c r="E7" s="214" t="s">
        <v>250</v>
      </c>
    </row>
    <row r="8" spans="1:5" s="68" customFormat="1" ht="12" customHeight="1" x14ac:dyDescent="0.2">
      <c r="A8" s="69" t="s">
        <v>217</v>
      </c>
      <c r="B8" s="70">
        <v>54549652559.999992</v>
      </c>
      <c r="C8" s="114">
        <v>53217505101</v>
      </c>
      <c r="D8" s="114">
        <v>53406503816</v>
      </c>
      <c r="E8" s="114">
        <v>89848889000</v>
      </c>
    </row>
    <row r="9" spans="1:5" s="68" customFormat="1" ht="12" customHeight="1" x14ac:dyDescent="0.2">
      <c r="A9" s="71" t="s">
        <v>171</v>
      </c>
      <c r="B9" s="72">
        <v>533304165.99999994</v>
      </c>
      <c r="C9" s="108">
        <v>446741599</v>
      </c>
      <c r="D9" s="108">
        <v>291031263</v>
      </c>
      <c r="E9" s="108">
        <v>270000000</v>
      </c>
    </row>
    <row r="10" spans="1:5" s="68" customFormat="1" ht="12" customHeight="1" x14ac:dyDescent="0.2">
      <c r="A10" s="71" t="s">
        <v>216</v>
      </c>
      <c r="B10" s="72">
        <v>2654726085</v>
      </c>
      <c r="C10" s="108">
        <v>5527811555</v>
      </c>
      <c r="D10" s="108">
        <v>289692866</v>
      </c>
      <c r="E10" s="108">
        <v>10000000</v>
      </c>
    </row>
    <row r="11" spans="1:5" s="68" customFormat="1" ht="12" customHeight="1" x14ac:dyDescent="0.2">
      <c r="A11" s="71" t="s">
        <v>241</v>
      </c>
      <c r="B11" s="72">
        <v>51361622308.999992</v>
      </c>
      <c r="C11" s="108">
        <v>47242951947</v>
      </c>
      <c r="D11" s="108">
        <v>52825779687</v>
      </c>
      <c r="E11" s="108">
        <v>89568889000</v>
      </c>
    </row>
    <row r="12" spans="1:5" s="68" customFormat="1" ht="12" customHeight="1" x14ac:dyDescent="0.2">
      <c r="A12" s="71"/>
      <c r="B12" s="72"/>
      <c r="C12" s="108"/>
      <c r="D12" s="108"/>
      <c r="E12" s="108"/>
    </row>
    <row r="13" spans="1:5" s="68" customFormat="1" ht="12" customHeight="1" x14ac:dyDescent="0.2">
      <c r="A13" s="69" t="s">
        <v>218</v>
      </c>
      <c r="B13" s="70">
        <v>3169762659377</v>
      </c>
      <c r="C13" s="114">
        <v>3463419264676</v>
      </c>
      <c r="D13" s="114">
        <v>3944100452405</v>
      </c>
      <c r="E13" s="114">
        <v>4588214335000</v>
      </c>
    </row>
    <row r="14" spans="1:5" s="19" customFormat="1" ht="12" customHeight="1" x14ac:dyDescent="0.2">
      <c r="A14" s="71" t="s">
        <v>171</v>
      </c>
      <c r="B14" s="72">
        <v>1358612467011</v>
      </c>
      <c r="C14" s="108">
        <v>1752263777087</v>
      </c>
      <c r="D14" s="108">
        <v>1895657321270</v>
      </c>
      <c r="E14" s="108">
        <v>2040165907000</v>
      </c>
    </row>
    <row r="15" spans="1:5" s="68" customFormat="1" ht="12" customHeight="1" x14ac:dyDescent="0.2">
      <c r="A15" s="71" t="s">
        <v>216</v>
      </c>
      <c r="B15" s="72">
        <v>63173883204</v>
      </c>
      <c r="C15" s="108">
        <v>109349525565</v>
      </c>
      <c r="D15" s="108">
        <v>170136619563</v>
      </c>
      <c r="E15" s="108">
        <v>117150699000</v>
      </c>
    </row>
    <row r="16" spans="1:5" s="68" customFormat="1" ht="12" customHeight="1" x14ac:dyDescent="0.2">
      <c r="A16" s="71" t="s">
        <v>241</v>
      </c>
      <c r="B16" s="72">
        <v>1747976309162</v>
      </c>
      <c r="C16" s="108">
        <v>1601805962024</v>
      </c>
      <c r="D16" s="108">
        <v>1878306511572</v>
      </c>
      <c r="E16" s="108">
        <v>2430897729000</v>
      </c>
    </row>
    <row r="17" spans="1:5" s="68" customFormat="1" ht="12" customHeight="1" x14ac:dyDescent="0.2">
      <c r="A17" s="71"/>
      <c r="B17" s="72"/>
      <c r="C17" s="108"/>
      <c r="D17" s="108"/>
      <c r="E17" s="108"/>
    </row>
    <row r="18" spans="1:5" s="68" customFormat="1" ht="12" x14ac:dyDescent="0.2">
      <c r="A18" s="103" t="s">
        <v>242</v>
      </c>
      <c r="B18" s="70">
        <v>36585319257.000008</v>
      </c>
      <c r="C18" s="114">
        <v>38297870845</v>
      </c>
      <c r="D18" s="114">
        <v>36239085841</v>
      </c>
      <c r="E18" s="114">
        <v>62198183000</v>
      </c>
    </row>
    <row r="19" spans="1:5" s="19" customFormat="1" ht="12" customHeight="1" x14ac:dyDescent="0.2">
      <c r="A19" s="71" t="s">
        <v>171</v>
      </c>
      <c r="B19" s="72">
        <v>0</v>
      </c>
      <c r="C19" s="108">
        <v>0</v>
      </c>
      <c r="D19" s="108">
        <v>0</v>
      </c>
      <c r="E19" s="108">
        <v>0</v>
      </c>
    </row>
    <row r="20" spans="1:5" s="68" customFormat="1" ht="12" customHeight="1" x14ac:dyDescent="0.2">
      <c r="A20" s="71" t="s">
        <v>216</v>
      </c>
      <c r="B20" s="72">
        <v>276283649</v>
      </c>
      <c r="C20" s="108">
        <v>288568758</v>
      </c>
      <c r="D20" s="108">
        <v>320726695</v>
      </c>
      <c r="E20" s="108">
        <v>0</v>
      </c>
    </row>
    <row r="21" spans="1:5" s="68" customFormat="1" ht="12" customHeight="1" x14ac:dyDescent="0.2">
      <c r="A21" s="71" t="s">
        <v>241</v>
      </c>
      <c r="B21" s="72">
        <v>36309035608.000008</v>
      </c>
      <c r="C21" s="108">
        <v>38009302087</v>
      </c>
      <c r="D21" s="108">
        <v>35918359146</v>
      </c>
      <c r="E21" s="108">
        <v>62198183000</v>
      </c>
    </row>
    <row r="22" spans="1:5" s="68" customFormat="1" ht="12" customHeight="1" x14ac:dyDescent="0.2">
      <c r="A22" s="71"/>
      <c r="B22" s="72"/>
      <c r="C22" s="108"/>
      <c r="D22" s="108"/>
      <c r="E22" s="108"/>
    </row>
    <row r="23" spans="1:5" s="68" customFormat="1" ht="12" customHeight="1" x14ac:dyDescent="0.2">
      <c r="A23" s="74" t="s">
        <v>220</v>
      </c>
      <c r="B23" s="70">
        <v>1372187707360</v>
      </c>
      <c r="C23" s="114">
        <v>1630849957867</v>
      </c>
      <c r="D23" s="114">
        <v>1555188951517</v>
      </c>
      <c r="E23" s="114">
        <v>2765627027000</v>
      </c>
    </row>
    <row r="24" spans="1:5" s="19" customFormat="1" ht="12" customHeight="1" x14ac:dyDescent="0.2">
      <c r="A24" s="71" t="s">
        <v>171</v>
      </c>
      <c r="B24" s="72">
        <v>66501812514.000008</v>
      </c>
      <c r="C24" s="108">
        <v>75840220946</v>
      </c>
      <c r="D24" s="108">
        <v>135226420994</v>
      </c>
      <c r="E24" s="108">
        <v>50916638000</v>
      </c>
    </row>
    <row r="25" spans="1:5" s="68" customFormat="1" ht="12" customHeight="1" x14ac:dyDescent="0.2">
      <c r="A25" s="71" t="s">
        <v>216</v>
      </c>
      <c r="B25" s="72">
        <v>769776800964</v>
      </c>
      <c r="C25" s="108">
        <v>891441634501</v>
      </c>
      <c r="D25" s="108">
        <v>822344503485</v>
      </c>
      <c r="E25" s="108">
        <v>613250541000</v>
      </c>
    </row>
    <row r="26" spans="1:5" s="68" customFormat="1" ht="12" customHeight="1" x14ac:dyDescent="0.2">
      <c r="A26" s="71" t="s">
        <v>241</v>
      </c>
      <c r="B26" s="72">
        <v>535909093882</v>
      </c>
      <c r="C26" s="108">
        <v>663568102420</v>
      </c>
      <c r="D26" s="108">
        <v>597618027038</v>
      </c>
      <c r="E26" s="108">
        <v>2101459848000</v>
      </c>
    </row>
    <row r="27" spans="1:5" s="68" customFormat="1" ht="12" customHeight="1" x14ac:dyDescent="0.2">
      <c r="A27" s="71"/>
      <c r="B27" s="44"/>
      <c r="C27" s="107"/>
      <c r="D27" s="107"/>
      <c r="E27" s="107"/>
    </row>
    <row r="28" spans="1:5" s="68" customFormat="1" ht="12" x14ac:dyDescent="0.2">
      <c r="A28" s="103" t="s">
        <v>221</v>
      </c>
      <c r="B28" s="70">
        <v>864905174304</v>
      </c>
      <c r="C28" s="114">
        <v>1307718988614</v>
      </c>
      <c r="D28" s="114">
        <v>1069619027127</v>
      </c>
      <c r="E28" s="114">
        <v>900879125000</v>
      </c>
    </row>
    <row r="29" spans="1:5" s="19" customFormat="1" ht="12" customHeight="1" x14ac:dyDescent="0.2">
      <c r="A29" s="71" t="s">
        <v>171</v>
      </c>
      <c r="B29" s="72">
        <v>35790458325</v>
      </c>
      <c r="C29" s="108">
        <v>40160992476</v>
      </c>
      <c r="D29" s="108">
        <v>59031330574</v>
      </c>
      <c r="E29" s="108">
        <v>25713583000</v>
      </c>
    </row>
    <row r="30" spans="1:5" s="68" customFormat="1" ht="12" customHeight="1" x14ac:dyDescent="0.2">
      <c r="A30" s="71" t="s">
        <v>216</v>
      </c>
      <c r="B30" s="72">
        <v>149382764772</v>
      </c>
      <c r="C30" s="108">
        <v>793762198198</v>
      </c>
      <c r="D30" s="108">
        <v>656649643245</v>
      </c>
      <c r="E30" s="108">
        <v>302499958000</v>
      </c>
    </row>
    <row r="31" spans="1:5" s="68" customFormat="1" ht="12" customHeight="1" x14ac:dyDescent="0.2">
      <c r="A31" s="71" t="s">
        <v>241</v>
      </c>
      <c r="B31" s="72">
        <v>679731951207</v>
      </c>
      <c r="C31" s="108">
        <v>473795797940</v>
      </c>
      <c r="D31" s="108">
        <v>353938053308</v>
      </c>
      <c r="E31" s="108">
        <v>572665584000</v>
      </c>
    </row>
    <row r="32" spans="1:5" s="68" customFormat="1" ht="12" customHeight="1" x14ac:dyDescent="0.2">
      <c r="A32" s="71"/>
      <c r="B32" s="44"/>
      <c r="C32" s="107"/>
      <c r="D32" s="107"/>
      <c r="E32" s="107"/>
    </row>
    <row r="33" spans="1:5" s="68" customFormat="1" ht="12" customHeight="1" x14ac:dyDescent="0.2">
      <c r="A33" s="69" t="s">
        <v>222</v>
      </c>
      <c r="B33" s="70">
        <v>78774185178.000015</v>
      </c>
      <c r="C33" s="114">
        <v>63856893945</v>
      </c>
      <c r="D33" s="114">
        <v>61457899626</v>
      </c>
      <c r="E33" s="114">
        <v>116269962000</v>
      </c>
    </row>
    <row r="34" spans="1:5" s="76" customFormat="1" ht="12" customHeight="1" x14ac:dyDescent="0.2">
      <c r="A34" s="71" t="s">
        <v>171</v>
      </c>
      <c r="B34" s="72">
        <v>20758926</v>
      </c>
      <c r="C34" s="108">
        <v>1418410082</v>
      </c>
      <c r="D34" s="108">
        <v>0</v>
      </c>
      <c r="E34" s="108">
        <v>0</v>
      </c>
    </row>
    <row r="35" spans="1:5" s="77" customFormat="1" ht="12" customHeight="1" x14ac:dyDescent="0.2">
      <c r="A35" s="71" t="s">
        <v>216</v>
      </c>
      <c r="B35" s="72">
        <v>1041866924</v>
      </c>
      <c r="C35" s="108">
        <v>2183967865</v>
      </c>
      <c r="D35" s="108">
        <v>7194163366</v>
      </c>
      <c r="E35" s="108">
        <v>4723464000</v>
      </c>
    </row>
    <row r="36" spans="1:5" s="77" customFormat="1" ht="12" customHeight="1" x14ac:dyDescent="0.2">
      <c r="A36" s="71" t="s">
        <v>241</v>
      </c>
      <c r="B36" s="72">
        <v>77711559328.000015</v>
      </c>
      <c r="C36" s="108">
        <v>60254515998</v>
      </c>
      <c r="D36" s="108">
        <v>54263736260</v>
      </c>
      <c r="E36" s="108">
        <v>111546498000</v>
      </c>
    </row>
    <row r="37" spans="1:5" s="77" customFormat="1" ht="12" customHeight="1" x14ac:dyDescent="0.2">
      <c r="A37" s="71"/>
      <c r="B37" s="72"/>
      <c r="C37" s="108"/>
      <c r="D37" s="108"/>
      <c r="E37" s="108"/>
    </row>
    <row r="38" spans="1:5" s="78" customFormat="1" ht="12" customHeight="1" x14ac:dyDescent="0.2">
      <c r="A38" s="69" t="s">
        <v>223</v>
      </c>
      <c r="B38" s="70">
        <v>319901213356</v>
      </c>
      <c r="C38" s="114">
        <v>363839001067</v>
      </c>
      <c r="D38" s="114">
        <v>384918885206</v>
      </c>
      <c r="E38" s="114">
        <v>609166903000</v>
      </c>
    </row>
    <row r="39" spans="1:5" s="19" customFormat="1" ht="12" customHeight="1" x14ac:dyDescent="0.2">
      <c r="A39" s="71" t="s">
        <v>171</v>
      </c>
      <c r="B39" s="72">
        <v>47759059467</v>
      </c>
      <c r="C39" s="108">
        <v>51550119638</v>
      </c>
      <c r="D39" s="108">
        <v>84597499681</v>
      </c>
      <c r="E39" s="108">
        <v>60658366000</v>
      </c>
    </row>
    <row r="40" spans="1:5" s="68" customFormat="1" ht="12" customHeight="1" x14ac:dyDescent="0.2">
      <c r="A40" s="71" t="s">
        <v>216</v>
      </c>
      <c r="B40" s="72">
        <v>54700741268</v>
      </c>
      <c r="C40" s="108">
        <v>49786085172</v>
      </c>
      <c r="D40" s="108">
        <v>47247257973</v>
      </c>
      <c r="E40" s="108">
        <v>78693915000</v>
      </c>
    </row>
    <row r="41" spans="1:5" s="68" customFormat="1" ht="12" customHeight="1" x14ac:dyDescent="0.2">
      <c r="A41" s="71" t="s">
        <v>241</v>
      </c>
      <c r="B41" s="72">
        <v>217441412621</v>
      </c>
      <c r="C41" s="108">
        <v>262502796257</v>
      </c>
      <c r="D41" s="108">
        <v>253074127552</v>
      </c>
      <c r="E41" s="108">
        <v>469814622000</v>
      </c>
    </row>
    <row r="42" spans="1:5" s="68" customFormat="1" ht="12" customHeight="1" x14ac:dyDescent="0.2">
      <c r="A42" s="79"/>
      <c r="B42" s="72"/>
      <c r="C42" s="108"/>
      <c r="D42" s="108"/>
      <c r="E42" s="108"/>
    </row>
    <row r="43" spans="1:5" s="68" customFormat="1" ht="12" customHeight="1" x14ac:dyDescent="0.2">
      <c r="A43" s="104" t="s">
        <v>224</v>
      </c>
      <c r="B43" s="70">
        <v>31165527173.999996</v>
      </c>
      <c r="C43" s="114">
        <v>34836965497</v>
      </c>
      <c r="D43" s="114">
        <v>34504236430</v>
      </c>
      <c r="E43" s="114">
        <v>47541250000</v>
      </c>
    </row>
    <row r="44" spans="1:5" s="19" customFormat="1" ht="12" customHeight="1" x14ac:dyDescent="0.2">
      <c r="A44" s="71" t="s">
        <v>171</v>
      </c>
      <c r="B44" s="72">
        <v>88918414</v>
      </c>
      <c r="C44" s="108">
        <v>1533033749</v>
      </c>
      <c r="D44" s="108">
        <v>2731255710</v>
      </c>
      <c r="E44" s="108">
        <v>3328514000</v>
      </c>
    </row>
    <row r="45" spans="1:5" s="68" customFormat="1" ht="12" customHeight="1" x14ac:dyDescent="0.2">
      <c r="A45" s="71" t="s">
        <v>216</v>
      </c>
      <c r="B45" s="72">
        <v>2206232706</v>
      </c>
      <c r="C45" s="108">
        <v>4683945257</v>
      </c>
      <c r="D45" s="108">
        <v>452330432</v>
      </c>
      <c r="E45" s="108">
        <v>193124000</v>
      </c>
    </row>
    <row r="46" spans="1:5" s="68" customFormat="1" ht="12" customHeight="1" x14ac:dyDescent="0.2">
      <c r="A46" s="71" t="s">
        <v>241</v>
      </c>
      <c r="B46" s="72">
        <v>28870376053.999996</v>
      </c>
      <c r="C46" s="108">
        <v>28619986491</v>
      </c>
      <c r="D46" s="108">
        <v>31320650288</v>
      </c>
      <c r="E46" s="108">
        <v>44019612000</v>
      </c>
    </row>
    <row r="47" spans="1:5" s="68" customFormat="1" ht="12" customHeight="1" x14ac:dyDescent="0.2">
      <c r="A47" s="71"/>
      <c r="B47" s="72"/>
      <c r="C47" s="108"/>
      <c r="D47" s="108"/>
      <c r="E47" s="108"/>
    </row>
    <row r="48" spans="1:5" s="68" customFormat="1" ht="12" x14ac:dyDescent="0.2">
      <c r="A48" s="103" t="s">
        <v>225</v>
      </c>
      <c r="B48" s="70">
        <v>103137290834</v>
      </c>
      <c r="C48" s="114">
        <v>91193917652</v>
      </c>
      <c r="D48" s="114">
        <v>93868769748</v>
      </c>
      <c r="E48" s="114">
        <v>121996557000</v>
      </c>
    </row>
    <row r="49" spans="1:5" s="19" customFormat="1" ht="12" customHeight="1" x14ac:dyDescent="0.2">
      <c r="A49" s="71" t="s">
        <v>171</v>
      </c>
      <c r="B49" s="72">
        <v>1794109966</v>
      </c>
      <c r="C49" s="108">
        <v>1997462600</v>
      </c>
      <c r="D49" s="108">
        <v>20799412306</v>
      </c>
      <c r="E49" s="108">
        <v>27992000000</v>
      </c>
    </row>
    <row r="50" spans="1:5" s="68" customFormat="1" ht="12" customHeight="1" x14ac:dyDescent="0.2">
      <c r="A50" s="71" t="s">
        <v>216</v>
      </c>
      <c r="B50" s="72">
        <v>20576960014.999996</v>
      </c>
      <c r="C50" s="108">
        <v>19746029697</v>
      </c>
      <c r="D50" s="108">
        <v>0</v>
      </c>
      <c r="E50" s="108">
        <v>0</v>
      </c>
    </row>
    <row r="51" spans="1:5" s="68" customFormat="1" ht="12" customHeight="1" x14ac:dyDescent="0.2">
      <c r="A51" s="71" t="s">
        <v>241</v>
      </c>
      <c r="B51" s="72">
        <v>80766220853</v>
      </c>
      <c r="C51" s="108">
        <v>69450425355</v>
      </c>
      <c r="D51" s="108">
        <v>73069357442</v>
      </c>
      <c r="E51" s="108">
        <v>94004557000</v>
      </c>
    </row>
    <row r="52" spans="1:5" s="68" customFormat="1" ht="12" customHeight="1" x14ac:dyDescent="0.2">
      <c r="A52" s="71"/>
      <c r="B52" s="44"/>
      <c r="C52" s="107"/>
      <c r="D52" s="107"/>
      <c r="E52" s="107"/>
    </row>
    <row r="53" spans="1:5" s="68" customFormat="1" ht="12" customHeight="1" x14ac:dyDescent="0.2">
      <c r="A53" s="104" t="s">
        <v>226</v>
      </c>
      <c r="B53" s="70">
        <v>17667897216</v>
      </c>
      <c r="C53" s="114">
        <v>19083839944</v>
      </c>
      <c r="D53" s="114">
        <v>17502899157</v>
      </c>
      <c r="E53" s="114">
        <v>48869178000</v>
      </c>
    </row>
    <row r="54" spans="1:5" s="19" customFormat="1" ht="12" customHeight="1" x14ac:dyDescent="0.2">
      <c r="A54" s="71" t="s">
        <v>171</v>
      </c>
      <c r="B54" s="72">
        <v>1483726082</v>
      </c>
      <c r="C54" s="108">
        <v>2027858199</v>
      </c>
      <c r="D54" s="108">
        <v>45291590</v>
      </c>
      <c r="E54" s="108">
        <v>79528000</v>
      </c>
    </row>
    <row r="55" spans="1:5" s="68" customFormat="1" ht="12" customHeight="1" x14ac:dyDescent="0.2">
      <c r="A55" s="71" t="s">
        <v>216</v>
      </c>
      <c r="B55" s="72">
        <v>218222584.99999997</v>
      </c>
      <c r="C55" s="108">
        <v>1058271475</v>
      </c>
      <c r="D55" s="108">
        <v>0</v>
      </c>
      <c r="E55" s="108">
        <v>78445000</v>
      </c>
    </row>
    <row r="56" spans="1:5" s="68" customFormat="1" ht="12" customHeight="1" x14ac:dyDescent="0.2">
      <c r="A56" s="71" t="s">
        <v>241</v>
      </c>
      <c r="B56" s="72">
        <v>15965948548.999998</v>
      </c>
      <c r="C56" s="108">
        <v>15997710270</v>
      </c>
      <c r="D56" s="108">
        <v>17457607567</v>
      </c>
      <c r="E56" s="108">
        <v>48711205000</v>
      </c>
    </row>
    <row r="57" spans="1:5" s="68" customFormat="1" ht="12" customHeight="1" x14ac:dyDescent="0.2">
      <c r="A57" s="71"/>
      <c r="B57" s="72"/>
      <c r="C57" s="108"/>
      <c r="D57" s="108"/>
      <c r="E57" s="108"/>
    </row>
    <row r="58" spans="1:5" s="68" customFormat="1" ht="12" customHeight="1" x14ac:dyDescent="0.2">
      <c r="A58" s="69" t="s">
        <v>73</v>
      </c>
      <c r="B58" s="70">
        <v>59487090063</v>
      </c>
      <c r="C58" s="114">
        <v>62507932233</v>
      </c>
      <c r="D58" s="114">
        <v>70054588646</v>
      </c>
      <c r="E58" s="114">
        <v>82219587000</v>
      </c>
    </row>
    <row r="59" spans="1:5" s="19" customFormat="1" ht="12" customHeight="1" x14ac:dyDescent="0.2">
      <c r="A59" s="71" t="s">
        <v>171</v>
      </c>
      <c r="B59" s="72">
        <v>1717655165</v>
      </c>
      <c r="C59" s="108">
        <v>892313511</v>
      </c>
      <c r="D59" s="108">
        <v>354768443</v>
      </c>
      <c r="E59" s="108">
        <v>250000000</v>
      </c>
    </row>
    <row r="60" spans="1:5" s="68" customFormat="1" ht="12" customHeight="1" x14ac:dyDescent="0.2">
      <c r="A60" s="71" t="s">
        <v>216</v>
      </c>
      <c r="B60" s="72">
        <v>449954875</v>
      </c>
      <c r="C60" s="108">
        <v>347327000</v>
      </c>
      <c r="D60" s="108">
        <v>552414452</v>
      </c>
      <c r="E60" s="108">
        <v>161345000</v>
      </c>
    </row>
    <row r="61" spans="1:5" s="68" customFormat="1" ht="12" customHeight="1" x14ac:dyDescent="0.2">
      <c r="A61" s="71" t="s">
        <v>241</v>
      </c>
      <c r="B61" s="72">
        <v>57319480023</v>
      </c>
      <c r="C61" s="108">
        <v>61268291722</v>
      </c>
      <c r="D61" s="108">
        <v>69147405751</v>
      </c>
      <c r="E61" s="108">
        <v>81808242000</v>
      </c>
    </row>
    <row r="62" spans="1:5" s="68" customFormat="1" ht="12" customHeight="1" x14ac:dyDescent="0.2">
      <c r="A62" s="71"/>
      <c r="B62" s="44"/>
      <c r="C62" s="107"/>
      <c r="D62" s="107"/>
      <c r="E62" s="107"/>
    </row>
    <row r="63" spans="1:5" s="68" customFormat="1" ht="12" customHeight="1" x14ac:dyDescent="0.2">
      <c r="A63" s="69" t="s">
        <v>228</v>
      </c>
      <c r="B63" s="70">
        <v>59933458500</v>
      </c>
      <c r="C63" s="114">
        <v>60308120943</v>
      </c>
      <c r="D63" s="114">
        <v>47062629038</v>
      </c>
      <c r="E63" s="114">
        <v>73747049000</v>
      </c>
    </row>
    <row r="64" spans="1:5" s="19" customFormat="1" ht="12" customHeight="1" x14ac:dyDescent="0.2">
      <c r="A64" s="71" t="s">
        <v>171</v>
      </c>
      <c r="B64" s="72">
        <v>2091329833.0000002</v>
      </c>
      <c r="C64" s="108">
        <v>5347386686</v>
      </c>
      <c r="D64" s="108">
        <v>6965948686</v>
      </c>
      <c r="E64" s="108">
        <v>7800000000</v>
      </c>
    </row>
    <row r="65" spans="1:5" s="68" customFormat="1" ht="12" customHeight="1" x14ac:dyDescent="0.2">
      <c r="A65" s="71" t="s">
        <v>216</v>
      </c>
      <c r="B65" s="72">
        <v>5900449366</v>
      </c>
      <c r="C65" s="108">
        <v>5683697271</v>
      </c>
      <c r="D65" s="108">
        <v>1919895533</v>
      </c>
      <c r="E65" s="108">
        <v>10000000</v>
      </c>
    </row>
    <row r="66" spans="1:5" s="68" customFormat="1" ht="12" customHeight="1" x14ac:dyDescent="0.2">
      <c r="A66" s="71" t="s">
        <v>241</v>
      </c>
      <c r="B66" s="72">
        <v>51941679301</v>
      </c>
      <c r="C66" s="108">
        <v>49277036986</v>
      </c>
      <c r="D66" s="108">
        <v>38176784819</v>
      </c>
      <c r="E66" s="108">
        <v>65937049000</v>
      </c>
    </row>
    <row r="67" spans="1:5" s="68" customFormat="1" ht="12" customHeight="1" x14ac:dyDescent="0.2">
      <c r="A67" s="71"/>
      <c r="B67" s="72"/>
      <c r="C67" s="108"/>
      <c r="D67" s="108"/>
      <c r="E67" s="108"/>
    </row>
    <row r="68" spans="1:5" s="68" customFormat="1" ht="12" x14ac:dyDescent="0.2">
      <c r="A68" s="103" t="s">
        <v>229</v>
      </c>
      <c r="B68" s="70">
        <v>11565933626</v>
      </c>
      <c r="C68" s="114">
        <v>12066507779</v>
      </c>
      <c r="D68" s="114">
        <v>11640963624</v>
      </c>
      <c r="E68" s="114">
        <v>16740812000</v>
      </c>
    </row>
    <row r="69" spans="1:5" s="19" customFormat="1" ht="12" customHeight="1" x14ac:dyDescent="0.2">
      <c r="A69" s="71" t="s">
        <v>171</v>
      </c>
      <c r="B69" s="72">
        <v>0</v>
      </c>
      <c r="C69" s="108">
        <v>1045780000</v>
      </c>
      <c r="D69" s="108">
        <v>1044915555</v>
      </c>
      <c r="E69" s="108">
        <v>1140238000</v>
      </c>
    </row>
    <row r="70" spans="1:5" s="68" customFormat="1" ht="12" customHeight="1" x14ac:dyDescent="0.2">
      <c r="A70" s="71" t="s">
        <v>216</v>
      </c>
      <c r="B70" s="72">
        <v>1200738322</v>
      </c>
      <c r="C70" s="108">
        <v>1299223715</v>
      </c>
      <c r="D70" s="108">
        <v>3581000</v>
      </c>
      <c r="E70" s="108">
        <v>87000</v>
      </c>
    </row>
    <row r="71" spans="1:5" s="68" customFormat="1" ht="12" customHeight="1" x14ac:dyDescent="0.2">
      <c r="A71" s="71" t="s">
        <v>241</v>
      </c>
      <c r="B71" s="72">
        <v>10365195304</v>
      </c>
      <c r="C71" s="108">
        <v>9721504064</v>
      </c>
      <c r="D71" s="108">
        <v>10592467069</v>
      </c>
      <c r="E71" s="108">
        <v>15600487000</v>
      </c>
    </row>
    <row r="72" spans="1:5" s="68" customFormat="1" ht="12" customHeight="1" x14ac:dyDescent="0.2">
      <c r="A72" s="71"/>
      <c r="B72" s="72"/>
      <c r="C72" s="108"/>
      <c r="D72" s="108"/>
      <c r="E72" s="108"/>
    </row>
    <row r="73" spans="1:5" s="68" customFormat="1" ht="12" x14ac:dyDescent="0.2">
      <c r="A73" s="104" t="s">
        <v>230</v>
      </c>
      <c r="B73" s="70">
        <v>33842757838.000004</v>
      </c>
      <c r="C73" s="114">
        <v>32151025800</v>
      </c>
      <c r="D73" s="114">
        <v>33888504423</v>
      </c>
      <c r="E73" s="114">
        <v>48577075000</v>
      </c>
    </row>
    <row r="74" spans="1:5" s="68" customFormat="1" ht="12" customHeight="1" x14ac:dyDescent="0.2">
      <c r="A74" s="71" t="s">
        <v>171</v>
      </c>
      <c r="B74" s="72">
        <v>0</v>
      </c>
      <c r="C74" s="108">
        <v>1945452629</v>
      </c>
      <c r="D74" s="108">
        <v>0</v>
      </c>
      <c r="E74" s="108">
        <v>0</v>
      </c>
    </row>
    <row r="75" spans="1:5" s="68" customFormat="1" ht="12" customHeight="1" x14ac:dyDescent="0.2">
      <c r="A75" s="71" t="s">
        <v>216</v>
      </c>
      <c r="B75" s="72">
        <v>3458872581</v>
      </c>
      <c r="C75" s="108">
        <v>509066241</v>
      </c>
      <c r="D75" s="108">
        <v>0</v>
      </c>
      <c r="E75" s="108">
        <v>0</v>
      </c>
    </row>
    <row r="76" spans="1:5" s="68" customFormat="1" ht="12" customHeight="1" x14ac:dyDescent="0.2">
      <c r="A76" s="71" t="s">
        <v>241</v>
      </c>
      <c r="B76" s="72">
        <v>30383885257.000004</v>
      </c>
      <c r="C76" s="108">
        <v>29696506930</v>
      </c>
      <c r="D76" s="108">
        <v>33888504423</v>
      </c>
      <c r="E76" s="108">
        <v>48577075000</v>
      </c>
    </row>
    <row r="77" spans="1:5" s="68" customFormat="1" ht="12" customHeight="1" x14ac:dyDescent="0.2">
      <c r="A77" s="71"/>
      <c r="B77" s="44"/>
      <c r="C77" s="107"/>
      <c r="D77" s="107"/>
      <c r="E77" s="107"/>
    </row>
    <row r="78" spans="1:5" s="68" customFormat="1" ht="12" customHeight="1" x14ac:dyDescent="0.2">
      <c r="A78" s="69" t="s">
        <v>231</v>
      </c>
      <c r="B78" s="70">
        <v>26209113152</v>
      </c>
      <c r="C78" s="114">
        <v>24584706092</v>
      </c>
      <c r="D78" s="114">
        <v>25480168355</v>
      </c>
      <c r="E78" s="114">
        <v>33215621000</v>
      </c>
    </row>
    <row r="79" spans="1:5" s="68" customFormat="1" ht="12" customHeight="1" x14ac:dyDescent="0.2">
      <c r="A79" s="71" t="s">
        <v>171</v>
      </c>
      <c r="B79" s="72">
        <v>0</v>
      </c>
      <c r="C79" s="108">
        <v>0</v>
      </c>
      <c r="D79" s="108">
        <v>0</v>
      </c>
      <c r="E79" s="108">
        <v>0</v>
      </c>
    </row>
    <row r="80" spans="1:5" s="68" customFormat="1" ht="12" customHeight="1" x14ac:dyDescent="0.2">
      <c r="A80" s="71" t="s">
        <v>216</v>
      </c>
      <c r="B80" s="72">
        <v>621000000</v>
      </c>
      <c r="C80" s="108">
        <v>0</v>
      </c>
      <c r="D80" s="108">
        <v>0</v>
      </c>
      <c r="E80" s="108">
        <v>0</v>
      </c>
    </row>
    <row r="81" spans="1:5" s="68" customFormat="1" ht="12" customHeight="1" x14ac:dyDescent="0.2">
      <c r="A81" s="71" t="s">
        <v>241</v>
      </c>
      <c r="B81" s="72">
        <v>25588113152</v>
      </c>
      <c r="C81" s="108">
        <v>24584706092</v>
      </c>
      <c r="D81" s="108">
        <v>25480168355</v>
      </c>
      <c r="E81" s="108">
        <v>33215621000</v>
      </c>
    </row>
    <row r="82" spans="1:5" s="68" customFormat="1" ht="12" customHeight="1" x14ac:dyDescent="0.2">
      <c r="A82" s="71"/>
      <c r="B82" s="44"/>
      <c r="C82" s="107"/>
      <c r="D82" s="107"/>
      <c r="E82" s="107"/>
    </row>
    <row r="83" spans="1:5" s="68" customFormat="1" ht="12" customHeight="1" x14ac:dyDescent="0.2">
      <c r="A83" s="69" t="s">
        <v>232</v>
      </c>
      <c r="B83" s="70">
        <v>169424503142</v>
      </c>
      <c r="C83" s="114">
        <v>206591099844</v>
      </c>
      <c r="D83" s="114">
        <v>178902109538</v>
      </c>
      <c r="E83" s="114">
        <v>219629248000</v>
      </c>
    </row>
    <row r="84" spans="1:5" s="68" customFormat="1" ht="12" customHeight="1" x14ac:dyDescent="0.2">
      <c r="A84" s="71" t="s">
        <v>171</v>
      </c>
      <c r="B84" s="72">
        <v>11072253631</v>
      </c>
      <c r="C84" s="108">
        <v>29404395529</v>
      </c>
      <c r="D84" s="108">
        <v>27772287356</v>
      </c>
      <c r="E84" s="108">
        <v>31678000000</v>
      </c>
    </row>
    <row r="85" spans="1:5" s="68" customFormat="1" ht="12" customHeight="1" x14ac:dyDescent="0.2">
      <c r="A85" s="71" t="s">
        <v>216</v>
      </c>
      <c r="B85" s="72">
        <v>29727080058</v>
      </c>
      <c r="C85" s="108">
        <v>27907698139</v>
      </c>
      <c r="D85" s="108">
        <v>4971324725</v>
      </c>
      <c r="E85" s="108">
        <v>2203570000</v>
      </c>
    </row>
    <row r="86" spans="1:5" s="68" customFormat="1" ht="12" customHeight="1" x14ac:dyDescent="0.2">
      <c r="A86" s="71" t="s">
        <v>241</v>
      </c>
      <c r="B86" s="72">
        <v>128625169453</v>
      </c>
      <c r="C86" s="108">
        <v>149279006176</v>
      </c>
      <c r="D86" s="108">
        <v>146158497457</v>
      </c>
      <c r="E86" s="108">
        <v>185747678000</v>
      </c>
    </row>
    <row r="87" spans="1:5" s="68" customFormat="1" ht="12" customHeight="1" x14ac:dyDescent="0.2">
      <c r="A87" s="71"/>
      <c r="B87" s="44"/>
      <c r="C87" s="107"/>
      <c r="D87" s="107"/>
      <c r="E87" s="107"/>
    </row>
    <row r="88" spans="1:5" s="68" customFormat="1" ht="12" x14ac:dyDescent="0.2">
      <c r="A88" s="104" t="s">
        <v>233</v>
      </c>
      <c r="B88" s="70">
        <v>113529439435</v>
      </c>
      <c r="C88" s="114">
        <v>107381221509</v>
      </c>
      <c r="D88" s="114">
        <v>106504851758</v>
      </c>
      <c r="E88" s="114">
        <v>126729821000</v>
      </c>
    </row>
    <row r="89" spans="1:5" s="68" customFormat="1" ht="12" customHeight="1" x14ac:dyDescent="0.2">
      <c r="A89" s="71" t="s">
        <v>171</v>
      </c>
      <c r="B89" s="72">
        <v>41117358506.000008</v>
      </c>
      <c r="C89" s="108">
        <v>27708476658</v>
      </c>
      <c r="D89" s="108">
        <v>16002851101</v>
      </c>
      <c r="E89" s="108">
        <v>10446852000</v>
      </c>
    </row>
    <row r="90" spans="1:5" s="68" customFormat="1" ht="12" customHeight="1" x14ac:dyDescent="0.2">
      <c r="A90" s="71" t="s">
        <v>216</v>
      </c>
      <c r="B90" s="72">
        <v>48972799</v>
      </c>
      <c r="C90" s="108">
        <v>27256468</v>
      </c>
      <c r="D90" s="108">
        <v>38060449</v>
      </c>
      <c r="E90" s="108">
        <v>80000000</v>
      </c>
    </row>
    <row r="91" spans="1:5" s="68" customFormat="1" ht="12" customHeight="1" x14ac:dyDescent="0.2">
      <c r="A91" s="71" t="s">
        <v>241</v>
      </c>
      <c r="B91" s="72">
        <v>72363108130</v>
      </c>
      <c r="C91" s="108">
        <v>79645488383</v>
      </c>
      <c r="D91" s="108">
        <v>90463940208</v>
      </c>
      <c r="E91" s="108">
        <v>116202969000</v>
      </c>
    </row>
    <row r="92" spans="1:5" s="68" customFormat="1" ht="12" customHeight="1" x14ac:dyDescent="0.2">
      <c r="A92" s="71"/>
      <c r="B92" s="44"/>
      <c r="C92" s="107"/>
      <c r="D92" s="107"/>
      <c r="E92" s="107"/>
    </row>
    <row r="93" spans="1:5" s="68" customFormat="1" ht="12" x14ac:dyDescent="0.2">
      <c r="A93" s="104" t="s">
        <v>234</v>
      </c>
      <c r="B93" s="70">
        <v>171572207551</v>
      </c>
      <c r="C93" s="114">
        <v>172485227030</v>
      </c>
      <c r="D93" s="114">
        <v>140762566187</v>
      </c>
      <c r="E93" s="114">
        <v>242159564000</v>
      </c>
    </row>
    <row r="94" spans="1:5" s="68" customFormat="1" ht="12" customHeight="1" x14ac:dyDescent="0.2">
      <c r="A94" s="71" t="s">
        <v>171</v>
      </c>
      <c r="B94" s="72">
        <v>546726788.00000012</v>
      </c>
      <c r="C94" s="108">
        <v>81219194</v>
      </c>
      <c r="D94" s="108">
        <v>624554516</v>
      </c>
      <c r="E94" s="108">
        <v>0</v>
      </c>
    </row>
    <row r="95" spans="1:5" s="68" customFormat="1" ht="12" customHeight="1" x14ac:dyDescent="0.2">
      <c r="A95" s="71" t="s">
        <v>216</v>
      </c>
      <c r="B95" s="72">
        <v>23976907570</v>
      </c>
      <c r="C95" s="108">
        <v>5537520750</v>
      </c>
      <c r="D95" s="108">
        <v>9696865654</v>
      </c>
      <c r="E95" s="108">
        <v>9388922000</v>
      </c>
    </row>
    <row r="96" spans="1:5" s="68" customFormat="1" ht="12" customHeight="1" x14ac:dyDescent="0.2">
      <c r="A96" s="71" t="s">
        <v>241</v>
      </c>
      <c r="B96" s="72">
        <v>147048573193</v>
      </c>
      <c r="C96" s="108">
        <v>166866487086</v>
      </c>
      <c r="D96" s="108">
        <v>130441146017</v>
      </c>
      <c r="E96" s="108">
        <v>232770642000</v>
      </c>
    </row>
    <row r="97" spans="1:5" s="68" customFormat="1" ht="12" customHeight="1" x14ac:dyDescent="0.2">
      <c r="A97" s="71"/>
      <c r="B97" s="44"/>
      <c r="C97" s="107"/>
      <c r="D97" s="107"/>
      <c r="E97" s="107"/>
    </row>
    <row r="98" spans="1:5" s="68" customFormat="1" ht="12" x14ac:dyDescent="0.2">
      <c r="A98" s="104" t="s">
        <v>235</v>
      </c>
      <c r="B98" s="70">
        <v>326262838418</v>
      </c>
      <c r="C98" s="114">
        <v>316266590792</v>
      </c>
      <c r="D98" s="114">
        <v>379549232499</v>
      </c>
      <c r="E98" s="114">
        <v>546909136000</v>
      </c>
    </row>
    <row r="99" spans="1:5" s="68" customFormat="1" ht="12" customHeight="1" x14ac:dyDescent="0.2">
      <c r="A99" s="71" t="s">
        <v>171</v>
      </c>
      <c r="B99" s="72">
        <v>4250687463</v>
      </c>
      <c r="C99" s="108">
        <v>1875324830</v>
      </c>
      <c r="D99" s="108">
        <v>131750717</v>
      </c>
      <c r="E99" s="108">
        <v>2526200000</v>
      </c>
    </row>
    <row r="100" spans="1:5" s="68" customFormat="1" ht="12" customHeight="1" x14ac:dyDescent="0.2">
      <c r="A100" s="71" t="s">
        <v>216</v>
      </c>
      <c r="B100" s="72">
        <v>24779439501</v>
      </c>
      <c r="C100" s="108">
        <v>49347434682</v>
      </c>
      <c r="D100" s="108">
        <v>12900715785</v>
      </c>
      <c r="E100" s="108">
        <v>28743634000</v>
      </c>
    </row>
    <row r="101" spans="1:5" s="68" customFormat="1" ht="12" customHeight="1" x14ac:dyDescent="0.2">
      <c r="A101" s="71" t="s">
        <v>241</v>
      </c>
      <c r="B101" s="72">
        <v>297232711454</v>
      </c>
      <c r="C101" s="108">
        <v>265043831280</v>
      </c>
      <c r="D101" s="108">
        <v>366516765997</v>
      </c>
      <c r="E101" s="108">
        <v>515639302000</v>
      </c>
    </row>
    <row r="102" spans="1:5" s="68" customFormat="1" ht="12" customHeight="1" x14ac:dyDescent="0.2">
      <c r="A102" s="71"/>
      <c r="B102" s="44"/>
      <c r="C102" s="107"/>
      <c r="D102" s="107"/>
      <c r="E102" s="107"/>
    </row>
    <row r="103" spans="1:5" s="68" customFormat="1" ht="12" x14ac:dyDescent="0.2">
      <c r="A103" s="104" t="s">
        <v>236</v>
      </c>
      <c r="B103" s="70">
        <v>30779542091.000004</v>
      </c>
      <c r="C103" s="114">
        <v>24065801548</v>
      </c>
      <c r="D103" s="114">
        <v>25726992501</v>
      </c>
      <c r="E103" s="114">
        <v>48957761000</v>
      </c>
    </row>
    <row r="104" spans="1:5" s="68" customFormat="1" ht="12" customHeight="1" x14ac:dyDescent="0.2">
      <c r="A104" s="71" t="s">
        <v>171</v>
      </c>
      <c r="B104" s="44">
        <v>0</v>
      </c>
      <c r="C104" s="108">
        <v>0</v>
      </c>
      <c r="D104" s="108">
        <v>0</v>
      </c>
      <c r="E104" s="108">
        <v>3929000</v>
      </c>
    </row>
    <row r="105" spans="1:5" s="68" customFormat="1" ht="12" customHeight="1" x14ac:dyDescent="0.2">
      <c r="A105" s="71" t="s">
        <v>216</v>
      </c>
      <c r="B105" s="72">
        <v>51126074.999999993</v>
      </c>
      <c r="C105" s="108">
        <v>9732379</v>
      </c>
      <c r="D105" s="108">
        <v>6025399</v>
      </c>
      <c r="E105" s="108">
        <v>0</v>
      </c>
    </row>
    <row r="106" spans="1:5" s="68" customFormat="1" ht="12" customHeight="1" x14ac:dyDescent="0.2">
      <c r="A106" s="71" t="s">
        <v>241</v>
      </c>
      <c r="B106" s="72">
        <v>30728416016.000004</v>
      </c>
      <c r="C106" s="108">
        <v>24056069169</v>
      </c>
      <c r="D106" s="108">
        <v>25720967102</v>
      </c>
      <c r="E106" s="108">
        <v>48953832000</v>
      </c>
    </row>
    <row r="107" spans="1:5" s="68" customFormat="1" ht="12" customHeight="1" x14ac:dyDescent="0.2">
      <c r="A107" s="71"/>
      <c r="B107" s="44"/>
      <c r="C107" s="107"/>
      <c r="D107" s="107"/>
      <c r="E107" s="107"/>
    </row>
    <row r="108" spans="1:5" s="68" customFormat="1" ht="24" x14ac:dyDescent="0.2">
      <c r="A108" s="104" t="s">
        <v>237</v>
      </c>
      <c r="B108" s="70">
        <v>247742162181</v>
      </c>
      <c r="C108" s="114">
        <v>255486672302</v>
      </c>
      <c r="D108" s="114">
        <v>379375648126</v>
      </c>
      <c r="E108" s="114">
        <v>721421675000</v>
      </c>
    </row>
    <row r="109" spans="1:5" s="68" customFormat="1" ht="12" customHeight="1" x14ac:dyDescent="0.2">
      <c r="A109" s="71" t="s">
        <v>171</v>
      </c>
      <c r="B109" s="44">
        <v>0</v>
      </c>
      <c r="C109" s="108">
        <v>0</v>
      </c>
      <c r="D109" s="108">
        <v>119079891135</v>
      </c>
      <c r="E109" s="108">
        <v>155000000000</v>
      </c>
    </row>
    <row r="110" spans="1:5" s="68" customFormat="1" ht="12" customHeight="1" x14ac:dyDescent="0.2">
      <c r="A110" s="71" t="s">
        <v>216</v>
      </c>
      <c r="B110" s="72">
        <v>69148110087</v>
      </c>
      <c r="C110" s="108">
        <v>152240209007</v>
      </c>
      <c r="D110" s="108">
        <v>68685436721</v>
      </c>
      <c r="E110" s="108">
        <v>150000000000</v>
      </c>
    </row>
    <row r="111" spans="1:5" s="68" customFormat="1" ht="12" customHeight="1" x14ac:dyDescent="0.2">
      <c r="A111" s="71" t="s">
        <v>241</v>
      </c>
      <c r="B111" s="72">
        <v>178594052094</v>
      </c>
      <c r="C111" s="108">
        <v>103246463295</v>
      </c>
      <c r="D111" s="108">
        <v>191610320270</v>
      </c>
      <c r="E111" s="108">
        <v>416421675000</v>
      </c>
    </row>
    <row r="112" spans="1:5" s="68" customFormat="1" ht="12" customHeight="1" thickBot="1" x14ac:dyDescent="0.25">
      <c r="A112" s="71"/>
      <c r="B112" s="44"/>
      <c r="C112" s="107"/>
      <c r="D112" s="107"/>
      <c r="E112" s="107"/>
    </row>
    <row r="113" spans="1:5" s="109" customFormat="1" ht="25.5" customHeight="1" thickBot="1" x14ac:dyDescent="0.25">
      <c r="A113" s="110" t="s">
        <v>238</v>
      </c>
      <c r="B113" s="111">
        <f>+B8+B13+B18+B23+B28+B33+B38+B43+B48+B53+B58+B63+B68+B73+B78+B83+B88+B93+B98+B103+B108</f>
        <v>7298985672613</v>
      </c>
      <c r="C113" s="115">
        <f>+C8+C13+C18+C23+C28+C33+C38+C43+C48+C53+C58+C63+C68+C73+C78+C83+C88+C93+C98+C103+C108</f>
        <v>8340209111080</v>
      </c>
      <c r="D113" s="115">
        <f t="shared" ref="D113:E113" si="0">+D8+D13+D18+D23+D28+D33+D38+D43+D48+D53+D58+D63+D68+D73+D78+D83+D88+D93+D98+D103+D108</f>
        <v>8649754965568</v>
      </c>
      <c r="E113" s="115">
        <f t="shared" si="0"/>
        <v>11510918758000</v>
      </c>
    </row>
    <row r="114" spans="1:5" s="68" customFormat="1" ht="12" customHeight="1" x14ac:dyDescent="0.2">
      <c r="A114" s="81"/>
      <c r="B114" s="82"/>
      <c r="C114" s="116"/>
      <c r="D114" s="116"/>
      <c r="E114" s="116"/>
    </row>
    <row r="115" spans="1:5" s="68" customFormat="1" ht="12" customHeight="1" x14ac:dyDescent="0.2">
      <c r="A115" s="69" t="s">
        <v>171</v>
      </c>
      <c r="B115" s="72">
        <v>1573380626257</v>
      </c>
      <c r="C115" s="108">
        <v>1995538965413</v>
      </c>
      <c r="D115" s="108">
        <v>2370356530897</v>
      </c>
      <c r="E115" s="108">
        <v>2417969755000</v>
      </c>
    </row>
    <row r="116" spans="1:5" s="68" customFormat="1" ht="12" customHeight="1" x14ac:dyDescent="0.2">
      <c r="A116" s="69" t="s">
        <v>216</v>
      </c>
      <c r="B116" s="75">
        <v>1223371133406</v>
      </c>
      <c r="C116" s="117">
        <v>2120737203695</v>
      </c>
      <c r="D116" s="117">
        <v>1803409257343</v>
      </c>
      <c r="E116" s="117">
        <v>1307187704000</v>
      </c>
    </row>
    <row r="117" spans="1:5" s="68" customFormat="1" ht="12" customHeight="1" x14ac:dyDescent="0.2">
      <c r="A117" s="69" t="s">
        <v>241</v>
      </c>
      <c r="B117" s="72">
        <v>4502233912950</v>
      </c>
      <c r="C117" s="108">
        <v>4223932941972</v>
      </c>
      <c r="D117" s="108">
        <v>4475989177328</v>
      </c>
      <c r="E117" s="108">
        <v>7785761299000</v>
      </c>
    </row>
    <row r="118" spans="1:5" s="68" customFormat="1" ht="12" customHeight="1" thickBot="1" x14ac:dyDescent="0.25">
      <c r="A118" s="71"/>
      <c r="B118" s="72"/>
      <c r="C118" s="108"/>
      <c r="D118" s="108"/>
      <c r="E118" s="108"/>
    </row>
    <row r="119" spans="1:5" s="109" customFormat="1" ht="24.75" customHeight="1" thickBot="1" x14ac:dyDescent="0.25">
      <c r="A119" s="120" t="s">
        <v>238</v>
      </c>
      <c r="B119" s="121">
        <f>SUM(B115:B118)</f>
        <v>7298985672613</v>
      </c>
      <c r="C119" s="122">
        <f>SUM(C115:C118)</f>
        <v>8340209111080</v>
      </c>
      <c r="D119" s="122">
        <f t="shared" ref="D119:E119" si="1">SUM(D115:D118)</f>
        <v>8649754965568</v>
      </c>
      <c r="E119" s="122">
        <f t="shared" si="1"/>
        <v>11510918758000</v>
      </c>
    </row>
    <row r="120" spans="1:5" s="109" customFormat="1" ht="12" customHeight="1" x14ac:dyDescent="0.2">
      <c r="A120" s="112"/>
      <c r="B120" s="113"/>
      <c r="C120" s="118"/>
      <c r="D120" s="118"/>
      <c r="E120" s="118"/>
    </row>
    <row r="121" spans="1:5" s="68" customFormat="1" ht="12" customHeight="1" x14ac:dyDescent="0.2">
      <c r="A121" s="69" t="s">
        <v>239</v>
      </c>
      <c r="B121" s="70">
        <v>190095751963.99994</v>
      </c>
      <c r="C121" s="114">
        <v>216458471156</v>
      </c>
      <c r="D121" s="114">
        <v>253362345055</v>
      </c>
      <c r="E121" s="114">
        <v>272838543000</v>
      </c>
    </row>
    <row r="122" spans="1:5" s="83" customFormat="1" ht="12" customHeight="1" x14ac:dyDescent="0.2">
      <c r="A122" s="71" t="s">
        <v>171</v>
      </c>
      <c r="B122" s="72">
        <v>1428347735.9999998</v>
      </c>
      <c r="C122" s="108">
        <v>1509289827</v>
      </c>
      <c r="D122" s="108">
        <v>1435463328</v>
      </c>
      <c r="E122" s="108">
        <v>1480398000</v>
      </c>
    </row>
    <row r="123" spans="1:5" s="78" customFormat="1" ht="12" customHeight="1" x14ac:dyDescent="0.2">
      <c r="A123" s="71" t="s">
        <v>216</v>
      </c>
      <c r="B123" s="72">
        <v>0</v>
      </c>
      <c r="C123" s="108">
        <v>0</v>
      </c>
      <c r="D123" s="108">
        <v>0</v>
      </c>
      <c r="E123" s="108">
        <v>0</v>
      </c>
    </row>
    <row r="124" spans="1:5" s="78" customFormat="1" ht="12" customHeight="1" x14ac:dyDescent="0.2">
      <c r="A124" s="71" t="s">
        <v>241</v>
      </c>
      <c r="B124" s="72">
        <v>188667404227.99994</v>
      </c>
      <c r="C124" s="108">
        <v>214949181329</v>
      </c>
      <c r="D124" s="108">
        <v>251926881727</v>
      </c>
      <c r="E124" s="108">
        <v>271358145000</v>
      </c>
    </row>
    <row r="125" spans="1:5" s="78" customFormat="1" ht="12" customHeight="1" x14ac:dyDescent="0.2">
      <c r="A125" s="71"/>
      <c r="B125" s="72"/>
      <c r="C125" s="108"/>
      <c r="D125" s="108"/>
      <c r="E125" s="108"/>
    </row>
    <row r="126" spans="1:5" s="78" customFormat="1" ht="12" customHeight="1" x14ac:dyDescent="0.2">
      <c r="A126" s="69" t="s">
        <v>240</v>
      </c>
      <c r="B126" s="70">
        <v>427230075441</v>
      </c>
      <c r="C126" s="114">
        <v>434695033736</v>
      </c>
      <c r="D126" s="114">
        <v>524589277308</v>
      </c>
      <c r="E126" s="114">
        <v>517073579000</v>
      </c>
    </row>
    <row r="127" spans="1:5" s="19" customFormat="1" ht="12" customHeight="1" x14ac:dyDescent="0.2">
      <c r="A127" s="71" t="s">
        <v>171</v>
      </c>
      <c r="B127" s="72">
        <v>87022649531</v>
      </c>
      <c r="C127" s="108">
        <v>105740477569</v>
      </c>
      <c r="D127" s="108">
        <v>124809807773</v>
      </c>
      <c r="E127" s="108">
        <v>102656284000</v>
      </c>
    </row>
    <row r="128" spans="1:5" s="68" customFormat="1" ht="12" customHeight="1" x14ac:dyDescent="0.2">
      <c r="A128" s="71" t="s">
        <v>216</v>
      </c>
      <c r="B128" s="72">
        <v>75170511886</v>
      </c>
      <c r="C128" s="108">
        <v>50248321199</v>
      </c>
      <c r="D128" s="108">
        <v>19306076315</v>
      </c>
      <c r="E128" s="108">
        <v>1331977000</v>
      </c>
    </row>
    <row r="129" spans="1:5" s="68" customFormat="1" ht="12" customHeight="1" x14ac:dyDescent="0.2">
      <c r="A129" s="71" t="s">
        <v>241</v>
      </c>
      <c r="B129" s="72">
        <v>265036914024.00003</v>
      </c>
      <c r="C129" s="108">
        <v>278706234968</v>
      </c>
      <c r="D129" s="108">
        <v>380473393220</v>
      </c>
      <c r="E129" s="108">
        <v>413085318000</v>
      </c>
    </row>
    <row r="130" spans="1:5" s="68" customFormat="1" ht="12" customHeight="1" thickBot="1" x14ac:dyDescent="0.25">
      <c r="A130" s="84"/>
      <c r="B130" s="85"/>
      <c r="C130" s="119"/>
      <c r="D130" s="119"/>
      <c r="E130" s="119"/>
    </row>
    <row r="131" spans="1:5" s="68" customFormat="1" ht="28.15" customHeight="1" x14ac:dyDescent="0.2">
      <c r="A131" s="216" t="s">
        <v>203</v>
      </c>
      <c r="B131" s="216"/>
      <c r="C131" s="216"/>
    </row>
    <row r="132" spans="1:5" s="68" customFormat="1" ht="10.9" customHeight="1" x14ac:dyDescent="0.2">
      <c r="A132" s="105"/>
      <c r="B132" s="105"/>
      <c r="C132" s="22"/>
    </row>
    <row r="133" spans="1:5" s="78" customFormat="1" ht="12" x14ac:dyDescent="0.2">
      <c r="A133" s="47" t="s">
        <v>162</v>
      </c>
      <c r="B133" s="73"/>
      <c r="C133" s="73"/>
    </row>
    <row r="134" spans="1:5" s="68" customFormat="1" ht="12" x14ac:dyDescent="0.2">
      <c r="A134" s="47" t="s">
        <v>142</v>
      </c>
      <c r="B134" s="80"/>
      <c r="C134" s="80"/>
    </row>
    <row r="135" spans="1:5" s="68" customFormat="1" ht="12" x14ac:dyDescent="0.2">
      <c r="A135" s="30"/>
      <c r="B135" s="22"/>
      <c r="C135" s="22"/>
    </row>
    <row r="136" spans="1:5" s="68" customFormat="1" ht="12" x14ac:dyDescent="0.2">
      <c r="A136" s="2"/>
      <c r="B136" s="22"/>
      <c r="C136" s="22"/>
    </row>
    <row r="137" spans="1:5" s="33" customFormat="1" ht="11.25" x14ac:dyDescent="0.2">
      <c r="A137" s="68"/>
      <c r="B137" s="91"/>
      <c r="C137" s="91"/>
    </row>
    <row r="138" spans="1:5" s="68" customFormat="1" ht="11.25" x14ac:dyDescent="0.2">
      <c r="A138" s="19"/>
      <c r="B138" s="91"/>
      <c r="C138" s="91"/>
    </row>
    <row r="139" spans="1:5" s="19" customFormat="1" ht="11.25" x14ac:dyDescent="0.2">
      <c r="B139" s="22"/>
      <c r="C139" s="22"/>
    </row>
    <row r="140" spans="1:5" s="19" customFormat="1" x14ac:dyDescent="0.2">
      <c r="A140" s="68"/>
      <c r="B140" s="54"/>
      <c r="C140" s="54"/>
    </row>
    <row r="141" spans="1:5" s="68" customFormat="1" x14ac:dyDescent="0.2">
      <c r="A141" s="53"/>
      <c r="B141" s="55"/>
      <c r="C141" s="55"/>
    </row>
    <row r="142" spans="1:5" s="53" customFormat="1" ht="15" x14ac:dyDescent="0.2">
      <c r="A142" s="46"/>
      <c r="B142" s="65"/>
      <c r="C142" s="65"/>
    </row>
    <row r="143" spans="1:5" s="46" customFormat="1" ht="15" customHeight="1" x14ac:dyDescent="0.2">
      <c r="A143" s="94"/>
      <c r="B143" s="65"/>
      <c r="C143" s="65"/>
    </row>
    <row r="144" spans="1:5" s="66" customFormat="1" ht="15" customHeight="1" x14ac:dyDescent="0.2">
      <c r="A144" s="94"/>
      <c r="B144" s="22"/>
      <c r="C144" s="22"/>
    </row>
    <row r="145" spans="1:3" s="66" customFormat="1" ht="15" customHeight="1" x14ac:dyDescent="0.2">
      <c r="A145" s="68"/>
      <c r="B145" s="22"/>
      <c r="C145" s="22"/>
    </row>
    <row r="146" spans="1:3" s="68" customFormat="1" ht="11.25" x14ac:dyDescent="0.2">
      <c r="B146" s="22"/>
      <c r="C146" s="22"/>
    </row>
    <row r="147" spans="1:3" s="68" customFormat="1" ht="11.25" x14ac:dyDescent="0.2">
      <c r="B147" s="22"/>
      <c r="C147" s="22"/>
    </row>
    <row r="148" spans="1:3" s="68" customFormat="1" ht="11.25" x14ac:dyDescent="0.2">
      <c r="B148" s="22"/>
      <c r="C148" s="22"/>
    </row>
    <row r="149" spans="1:3" s="68" customFormat="1" ht="11.25" x14ac:dyDescent="0.2">
      <c r="B149" s="22"/>
      <c r="C149" s="22"/>
    </row>
    <row r="150" spans="1:3" s="68" customFormat="1" ht="11.25" x14ac:dyDescent="0.2">
      <c r="B150" s="22"/>
      <c r="C150" s="22"/>
    </row>
    <row r="151" spans="1:3" s="68" customFormat="1" ht="11.25" x14ac:dyDescent="0.2">
      <c r="B151" s="91"/>
      <c r="C151" s="91"/>
    </row>
    <row r="152" spans="1:3" s="68" customFormat="1" ht="11.25" x14ac:dyDescent="0.2">
      <c r="A152" s="19"/>
      <c r="B152" s="22"/>
      <c r="C152" s="22"/>
    </row>
    <row r="153" spans="1:3" s="19" customFormat="1" ht="11.25" x14ac:dyDescent="0.2">
      <c r="A153" s="68"/>
      <c r="B153" s="22"/>
      <c r="C153" s="22"/>
    </row>
    <row r="154" spans="1:3" s="68" customFormat="1" ht="11.25" x14ac:dyDescent="0.2">
      <c r="B154" s="22"/>
      <c r="C154" s="22"/>
    </row>
    <row r="155" spans="1:3" s="68" customFormat="1" ht="11.25" x14ac:dyDescent="0.2">
      <c r="B155" s="22"/>
      <c r="C155" s="22"/>
    </row>
    <row r="156" spans="1:3" s="68" customFormat="1" ht="11.25" x14ac:dyDescent="0.2">
      <c r="B156" s="22"/>
      <c r="C156" s="22"/>
    </row>
    <row r="157" spans="1:3" s="68" customFormat="1" ht="11.25" x14ac:dyDescent="0.2">
      <c r="B157" s="91"/>
      <c r="C157" s="91"/>
    </row>
    <row r="158" spans="1:3" s="68" customFormat="1" ht="15" customHeight="1" x14ac:dyDescent="0.2">
      <c r="A158" s="19"/>
      <c r="B158" s="91"/>
      <c r="C158" s="91"/>
    </row>
    <row r="159" spans="1:3" s="19" customFormat="1" ht="11.25" x14ac:dyDescent="0.2">
      <c r="B159" s="22"/>
      <c r="C159" s="22"/>
    </row>
    <row r="160" spans="1:3" s="19" customFormat="1" ht="11.25" x14ac:dyDescent="0.2">
      <c r="A160" s="68"/>
      <c r="B160" s="22"/>
      <c r="C160" s="22"/>
    </row>
    <row r="161" spans="2:3" s="68" customFormat="1" ht="11.25" x14ac:dyDescent="0.2">
      <c r="B161" s="22"/>
      <c r="C161" s="22"/>
    </row>
    <row r="162" spans="2:3" s="68" customFormat="1" ht="11.25" x14ac:dyDescent="0.2">
      <c r="B162" s="22"/>
      <c r="C162" s="22"/>
    </row>
    <row r="163" spans="2:3" s="68" customFormat="1" ht="11.25" x14ac:dyDescent="0.2">
      <c r="B163" s="22"/>
      <c r="C163" s="22"/>
    </row>
    <row r="164" spans="2:3" s="68" customFormat="1" ht="11.25" x14ac:dyDescent="0.2">
      <c r="B164" s="22"/>
      <c r="C164" s="22"/>
    </row>
    <row r="165" spans="2:3" s="68" customFormat="1" ht="11.25" x14ac:dyDescent="0.2">
      <c r="B165" s="22"/>
      <c r="C165" s="22"/>
    </row>
    <row r="166" spans="2:3" s="68" customFormat="1" ht="11.25" x14ac:dyDescent="0.2">
      <c r="B166" s="22"/>
      <c r="C166" s="22"/>
    </row>
    <row r="167" spans="2:3" s="68" customFormat="1" ht="11.25" x14ac:dyDescent="0.2">
      <c r="B167" s="22"/>
      <c r="C167" s="22"/>
    </row>
    <row r="168" spans="2:3" s="68" customFormat="1" ht="11.25" x14ac:dyDescent="0.2">
      <c r="B168" s="22"/>
      <c r="C168" s="22"/>
    </row>
    <row r="169" spans="2:3" s="68" customFormat="1" ht="11.25" x14ac:dyDescent="0.2">
      <c r="B169" s="22"/>
      <c r="C169" s="22"/>
    </row>
    <row r="170" spans="2:3" s="68" customFormat="1" ht="11.25" x14ac:dyDescent="0.2">
      <c r="B170" s="22"/>
      <c r="C170" s="22"/>
    </row>
    <row r="171" spans="2:3" s="68" customFormat="1" ht="11.25" x14ac:dyDescent="0.2">
      <c r="B171" s="22"/>
      <c r="C171" s="22"/>
    </row>
    <row r="172" spans="2:3" s="68" customFormat="1" ht="11.25" x14ac:dyDescent="0.2">
      <c r="B172" s="22"/>
      <c r="C172" s="22"/>
    </row>
    <row r="173" spans="2:3" s="68" customFormat="1" ht="11.25" x14ac:dyDescent="0.2">
      <c r="B173" s="22"/>
      <c r="C173" s="22"/>
    </row>
    <row r="174" spans="2:3" s="68" customFormat="1" ht="11.25" x14ac:dyDescent="0.2">
      <c r="B174" s="22"/>
      <c r="C174" s="22"/>
    </row>
    <row r="175" spans="2:3" s="68" customFormat="1" ht="11.25" x14ac:dyDescent="0.2">
      <c r="B175" s="22"/>
      <c r="C175" s="22"/>
    </row>
    <row r="176" spans="2:3" s="68" customFormat="1" ht="11.25" x14ac:dyDescent="0.2">
      <c r="B176" s="22"/>
      <c r="C176" s="22"/>
    </row>
    <row r="177" spans="2:3" s="68" customFormat="1" ht="11.25" x14ac:dyDescent="0.2">
      <c r="B177" s="22"/>
      <c r="C177" s="22"/>
    </row>
    <row r="178" spans="2:3" s="68" customFormat="1" ht="11.25" x14ac:dyDescent="0.2">
      <c r="B178" s="22"/>
      <c r="C178" s="22"/>
    </row>
    <row r="179" spans="2:3" s="68" customFormat="1" ht="11.25" x14ac:dyDescent="0.2">
      <c r="B179" s="22"/>
      <c r="C179" s="22"/>
    </row>
    <row r="180" spans="2:3" s="68" customFormat="1" ht="11.25" x14ac:dyDescent="0.2">
      <c r="B180" s="22"/>
      <c r="C180" s="22"/>
    </row>
    <row r="181" spans="2:3" s="68" customFormat="1" ht="11.25" x14ac:dyDescent="0.2">
      <c r="B181" s="22"/>
      <c r="C181" s="22"/>
    </row>
    <row r="182" spans="2:3" s="68" customFormat="1" ht="11.25" x14ac:dyDescent="0.2">
      <c r="B182" s="22"/>
      <c r="C182" s="22"/>
    </row>
    <row r="183" spans="2:3" s="68" customFormat="1" ht="11.25" x14ac:dyDescent="0.2">
      <c r="B183" s="22"/>
      <c r="C183" s="22"/>
    </row>
    <row r="184" spans="2:3" s="68" customFormat="1" ht="11.25" x14ac:dyDescent="0.2">
      <c r="B184" s="22"/>
      <c r="C184" s="22"/>
    </row>
    <row r="185" spans="2:3" s="68" customFormat="1" ht="11.25" x14ac:dyDescent="0.2">
      <c r="B185" s="22"/>
      <c r="C185" s="22"/>
    </row>
    <row r="186" spans="2:3" s="68" customFormat="1" ht="11.25" x14ac:dyDescent="0.2">
      <c r="B186" s="22"/>
      <c r="C186" s="22"/>
    </row>
    <row r="187" spans="2:3" s="68" customFormat="1" ht="11.25" x14ac:dyDescent="0.2">
      <c r="B187" s="22"/>
      <c r="C187" s="22"/>
    </row>
    <row r="188" spans="2:3" s="68" customFormat="1" ht="11.25" x14ac:dyDescent="0.2">
      <c r="B188" s="22"/>
      <c r="C188" s="22"/>
    </row>
    <row r="189" spans="2:3" s="68" customFormat="1" ht="11.25" x14ac:dyDescent="0.2">
      <c r="B189" s="22"/>
      <c r="C189" s="22"/>
    </row>
    <row r="190" spans="2:3" s="68" customFormat="1" ht="11.25" x14ac:dyDescent="0.2">
      <c r="B190" s="22"/>
      <c r="C190" s="22"/>
    </row>
    <row r="191" spans="2:3" s="68" customFormat="1" ht="11.25" x14ac:dyDescent="0.2">
      <c r="B191" s="22"/>
      <c r="C191" s="22"/>
    </row>
    <row r="192" spans="2:3" s="68" customFormat="1" ht="11.25" x14ac:dyDescent="0.2">
      <c r="B192" s="22"/>
      <c r="C192" s="22"/>
    </row>
    <row r="193" spans="2:3" s="68" customFormat="1" ht="11.25" x14ac:dyDescent="0.2">
      <c r="B193" s="22"/>
      <c r="C193" s="22"/>
    </row>
    <row r="194" spans="2:3" s="68" customFormat="1" ht="11.25" x14ac:dyDescent="0.2">
      <c r="B194" s="22"/>
      <c r="C194" s="22"/>
    </row>
    <row r="195" spans="2:3" s="68" customFormat="1" ht="11.25" x14ac:dyDescent="0.2">
      <c r="B195" s="22"/>
      <c r="C195" s="22"/>
    </row>
    <row r="196" spans="2:3" s="68" customFormat="1" ht="11.25" x14ac:dyDescent="0.2">
      <c r="B196" s="22"/>
      <c r="C196" s="22"/>
    </row>
    <row r="197" spans="2:3" s="68" customFormat="1" ht="11.25" x14ac:dyDescent="0.2">
      <c r="B197" s="22"/>
      <c r="C197" s="22"/>
    </row>
    <row r="198" spans="2:3" s="68" customFormat="1" ht="11.25" x14ac:dyDescent="0.2">
      <c r="B198" s="22"/>
      <c r="C198" s="22"/>
    </row>
    <row r="199" spans="2:3" s="68" customFormat="1" ht="11.25" x14ac:dyDescent="0.2">
      <c r="B199" s="22"/>
      <c r="C199" s="22"/>
    </row>
    <row r="200" spans="2:3" s="68" customFormat="1" ht="11.25" x14ac:dyDescent="0.2">
      <c r="B200" s="22"/>
      <c r="C200" s="22"/>
    </row>
    <row r="201" spans="2:3" s="68" customFormat="1" ht="11.25" x14ac:dyDescent="0.2">
      <c r="B201" s="22"/>
      <c r="C201" s="22"/>
    </row>
    <row r="202" spans="2:3" s="68" customFormat="1" ht="11.25" x14ac:dyDescent="0.2">
      <c r="B202" s="22"/>
      <c r="C202" s="22"/>
    </row>
    <row r="203" spans="2:3" s="68" customFormat="1" ht="11.25" x14ac:dyDescent="0.2">
      <c r="B203" s="22"/>
      <c r="C203" s="22"/>
    </row>
    <row r="204" spans="2:3" s="68" customFormat="1" ht="11.25" x14ac:dyDescent="0.2">
      <c r="B204" s="22"/>
      <c r="C204" s="22"/>
    </row>
    <row r="205" spans="2:3" s="68" customFormat="1" ht="11.25" x14ac:dyDescent="0.2">
      <c r="B205" s="22"/>
      <c r="C205" s="22"/>
    </row>
    <row r="206" spans="2:3" s="68" customFormat="1" ht="11.25" x14ac:dyDescent="0.2">
      <c r="B206" s="22"/>
      <c r="C206" s="22"/>
    </row>
    <row r="207" spans="2:3" s="68" customFormat="1" ht="11.25" x14ac:dyDescent="0.2">
      <c r="B207" s="22"/>
      <c r="C207" s="22"/>
    </row>
    <row r="208" spans="2:3" s="68" customFormat="1" ht="11.25" x14ac:dyDescent="0.2">
      <c r="B208" s="22"/>
      <c r="C208" s="22"/>
    </row>
    <row r="209" spans="2:3" s="68" customFormat="1" ht="11.25" x14ac:dyDescent="0.2">
      <c r="B209" s="22"/>
      <c r="C209" s="22"/>
    </row>
    <row r="210" spans="2:3" s="68" customFormat="1" ht="11.25" x14ac:dyDescent="0.2">
      <c r="B210" s="22"/>
      <c r="C210" s="22"/>
    </row>
    <row r="211" spans="2:3" s="68" customFormat="1" ht="11.25" x14ac:dyDescent="0.2">
      <c r="B211" s="22"/>
      <c r="C211" s="22"/>
    </row>
    <row r="212" spans="2:3" s="68" customFormat="1" ht="11.25" x14ac:dyDescent="0.2">
      <c r="B212" s="22"/>
      <c r="C212" s="22"/>
    </row>
    <row r="213" spans="2:3" s="68" customFormat="1" ht="11.25" x14ac:dyDescent="0.2">
      <c r="B213" s="22"/>
      <c r="C213" s="22"/>
    </row>
    <row r="214" spans="2:3" s="68" customFormat="1" ht="11.25" x14ac:dyDescent="0.2">
      <c r="B214" s="22"/>
      <c r="C214" s="22"/>
    </row>
    <row r="215" spans="2:3" s="68" customFormat="1" ht="11.25" x14ac:dyDescent="0.2">
      <c r="B215" s="22"/>
      <c r="C215" s="22"/>
    </row>
    <row r="216" spans="2:3" s="68" customFormat="1" ht="11.25" x14ac:dyDescent="0.2">
      <c r="B216" s="22"/>
      <c r="C216" s="22"/>
    </row>
    <row r="217" spans="2:3" s="68" customFormat="1" ht="11.25" x14ac:dyDescent="0.2">
      <c r="B217" s="22"/>
      <c r="C217" s="22"/>
    </row>
    <row r="218" spans="2:3" s="68" customFormat="1" ht="11.25" x14ac:dyDescent="0.2">
      <c r="B218" s="22"/>
      <c r="C218" s="22"/>
    </row>
    <row r="219" spans="2:3" s="68" customFormat="1" ht="11.25" x14ac:dyDescent="0.2">
      <c r="B219" s="22"/>
      <c r="C219" s="22"/>
    </row>
    <row r="220" spans="2:3" s="68" customFormat="1" ht="11.25" x14ac:dyDescent="0.2">
      <c r="B220" s="22"/>
      <c r="C220" s="22"/>
    </row>
    <row r="221" spans="2:3" s="68" customFormat="1" ht="11.25" x14ac:dyDescent="0.2">
      <c r="B221" s="22"/>
      <c r="C221" s="22"/>
    </row>
    <row r="222" spans="2:3" s="68" customFormat="1" ht="11.25" x14ac:dyDescent="0.2">
      <c r="B222" s="22"/>
      <c r="C222" s="22"/>
    </row>
    <row r="223" spans="2:3" s="68" customFormat="1" ht="11.25" x14ac:dyDescent="0.2">
      <c r="B223" s="22"/>
      <c r="C223" s="22"/>
    </row>
    <row r="224" spans="2:3" s="68" customFormat="1" ht="11.25" x14ac:dyDescent="0.2">
      <c r="B224" s="22"/>
      <c r="C224" s="22"/>
    </row>
    <row r="225" spans="2:3" s="68" customFormat="1" ht="11.25" x14ac:dyDescent="0.2">
      <c r="B225" s="22"/>
      <c r="C225" s="22"/>
    </row>
    <row r="226" spans="2:3" s="68" customFormat="1" ht="11.25" x14ac:dyDescent="0.2">
      <c r="B226" s="22"/>
      <c r="C226" s="22"/>
    </row>
    <row r="227" spans="2:3" s="68" customFormat="1" ht="11.25" x14ac:dyDescent="0.2">
      <c r="B227" s="22"/>
      <c r="C227" s="22"/>
    </row>
    <row r="228" spans="2:3" s="68" customFormat="1" ht="11.25" x14ac:dyDescent="0.2">
      <c r="B228" s="22"/>
      <c r="C228" s="22"/>
    </row>
    <row r="229" spans="2:3" s="68" customFormat="1" ht="11.25" x14ac:dyDescent="0.2">
      <c r="B229" s="22"/>
      <c r="C229" s="22"/>
    </row>
    <row r="230" spans="2:3" s="68" customFormat="1" ht="11.25" x14ac:dyDescent="0.2">
      <c r="B230" s="22"/>
      <c r="C230" s="22"/>
    </row>
    <row r="231" spans="2:3" s="68" customFormat="1" ht="11.25" x14ac:dyDescent="0.2">
      <c r="B231" s="22"/>
      <c r="C231" s="22"/>
    </row>
    <row r="232" spans="2:3" s="68" customFormat="1" ht="11.25" x14ac:dyDescent="0.2">
      <c r="B232" s="22"/>
      <c r="C232" s="22"/>
    </row>
    <row r="233" spans="2:3" s="68" customFormat="1" ht="11.25" x14ac:dyDescent="0.2">
      <c r="B233" s="22"/>
      <c r="C233" s="22"/>
    </row>
    <row r="234" spans="2:3" s="68" customFormat="1" ht="11.25" x14ac:dyDescent="0.2">
      <c r="B234" s="22"/>
      <c r="C234" s="22"/>
    </row>
    <row r="235" spans="2:3" s="68" customFormat="1" ht="11.25" x14ac:dyDescent="0.2">
      <c r="B235" s="22"/>
      <c r="C235" s="22"/>
    </row>
    <row r="236" spans="2:3" s="68" customFormat="1" ht="11.25" x14ac:dyDescent="0.2">
      <c r="B236" s="22"/>
      <c r="C236" s="22"/>
    </row>
    <row r="237" spans="2:3" s="68" customFormat="1" ht="11.25" x14ac:dyDescent="0.2">
      <c r="B237" s="22"/>
      <c r="C237" s="22"/>
    </row>
    <row r="238" spans="2:3" s="68" customFormat="1" ht="11.25" x14ac:dyDescent="0.2">
      <c r="B238" s="22"/>
      <c r="C238" s="22"/>
    </row>
    <row r="239" spans="2:3" s="68" customFormat="1" ht="11.25" x14ac:dyDescent="0.2">
      <c r="B239" s="22"/>
      <c r="C239" s="22"/>
    </row>
    <row r="240" spans="2:3" s="68" customFormat="1" ht="11.25" x14ac:dyDescent="0.2">
      <c r="B240" s="22"/>
      <c r="C240" s="22"/>
    </row>
    <row r="241" spans="2:3" s="68" customFormat="1" ht="11.25" x14ac:dyDescent="0.2">
      <c r="B241" s="22"/>
      <c r="C241" s="22"/>
    </row>
    <row r="242" spans="2:3" s="68" customFormat="1" ht="11.25" x14ac:dyDescent="0.2">
      <c r="B242" s="22"/>
      <c r="C242" s="22"/>
    </row>
    <row r="243" spans="2:3" s="68" customFormat="1" ht="11.25" x14ac:dyDescent="0.2">
      <c r="B243" s="22"/>
      <c r="C243" s="22"/>
    </row>
    <row r="244" spans="2:3" s="68" customFormat="1" ht="11.25" x14ac:dyDescent="0.2">
      <c r="B244" s="22"/>
      <c r="C244" s="22"/>
    </row>
    <row r="245" spans="2:3" s="68" customFormat="1" ht="11.25" x14ac:dyDescent="0.2">
      <c r="B245" s="22"/>
      <c r="C245" s="22"/>
    </row>
    <row r="246" spans="2:3" s="68" customFormat="1" ht="11.25" x14ac:dyDescent="0.2">
      <c r="B246" s="22"/>
      <c r="C246" s="22"/>
    </row>
    <row r="247" spans="2:3" s="68" customFormat="1" ht="11.25" x14ac:dyDescent="0.2">
      <c r="B247" s="22"/>
      <c r="C247" s="22"/>
    </row>
    <row r="248" spans="2:3" s="68" customFormat="1" ht="11.25" x14ac:dyDescent="0.2">
      <c r="B248" s="22"/>
      <c r="C248" s="22"/>
    </row>
    <row r="249" spans="2:3" s="68" customFormat="1" ht="11.25" x14ac:dyDescent="0.2">
      <c r="B249" s="22"/>
      <c r="C249" s="22"/>
    </row>
    <row r="250" spans="2:3" s="68" customFormat="1" ht="11.25" x14ac:dyDescent="0.2">
      <c r="B250" s="22"/>
      <c r="C250" s="22"/>
    </row>
    <row r="251" spans="2:3" s="68" customFormat="1" ht="11.25" x14ac:dyDescent="0.2">
      <c r="B251" s="22"/>
      <c r="C251" s="22"/>
    </row>
    <row r="252" spans="2:3" s="68" customFormat="1" ht="11.25" x14ac:dyDescent="0.2">
      <c r="B252" s="22"/>
      <c r="C252" s="22"/>
    </row>
    <row r="253" spans="2:3" s="68" customFormat="1" ht="11.25" x14ac:dyDescent="0.2">
      <c r="B253" s="22"/>
      <c r="C253" s="22"/>
    </row>
    <row r="254" spans="2:3" s="68" customFormat="1" ht="11.25" x14ac:dyDescent="0.2">
      <c r="B254" s="22"/>
      <c r="C254" s="22"/>
    </row>
    <row r="255" spans="2:3" s="68" customFormat="1" ht="11.25" x14ac:dyDescent="0.2">
      <c r="B255" s="22"/>
      <c r="C255" s="22"/>
    </row>
    <row r="256" spans="2:3" s="68" customFormat="1" ht="11.25" x14ac:dyDescent="0.2">
      <c r="B256" s="22"/>
      <c r="C256" s="22"/>
    </row>
    <row r="257" spans="2:3" s="68" customFormat="1" ht="11.25" x14ac:dyDescent="0.2">
      <c r="B257" s="22"/>
      <c r="C257" s="22"/>
    </row>
    <row r="258" spans="2:3" s="68" customFormat="1" ht="11.25" x14ac:dyDescent="0.2">
      <c r="B258" s="22"/>
      <c r="C258" s="22"/>
    </row>
    <row r="259" spans="2:3" s="68" customFormat="1" ht="11.25" x14ac:dyDescent="0.2">
      <c r="B259" s="22"/>
      <c r="C259" s="22"/>
    </row>
    <row r="260" spans="2:3" s="68" customFormat="1" ht="11.25" x14ac:dyDescent="0.2">
      <c r="B260" s="22"/>
      <c r="C260" s="22"/>
    </row>
    <row r="261" spans="2:3" s="68" customFormat="1" ht="11.25" x14ac:dyDescent="0.2">
      <c r="B261" s="22"/>
      <c r="C261" s="22"/>
    </row>
    <row r="262" spans="2:3" s="68" customFormat="1" ht="11.25" x14ac:dyDescent="0.2">
      <c r="B262" s="22"/>
      <c r="C262" s="22"/>
    </row>
    <row r="263" spans="2:3" s="68" customFormat="1" ht="11.25" x14ac:dyDescent="0.2">
      <c r="B263" s="22"/>
      <c r="C263" s="22"/>
    </row>
    <row r="264" spans="2:3" s="68" customFormat="1" ht="11.25" x14ac:dyDescent="0.2">
      <c r="B264" s="22"/>
      <c r="C264" s="22"/>
    </row>
    <row r="265" spans="2:3" s="68" customFormat="1" ht="11.25" x14ac:dyDescent="0.2">
      <c r="B265" s="22"/>
      <c r="C265" s="22"/>
    </row>
    <row r="266" spans="2:3" s="68" customFormat="1" ht="11.25" x14ac:dyDescent="0.2">
      <c r="B266" s="22"/>
      <c r="C266" s="22"/>
    </row>
    <row r="267" spans="2:3" s="68" customFormat="1" ht="11.25" x14ac:dyDescent="0.2">
      <c r="B267" s="22"/>
      <c r="C267" s="22"/>
    </row>
    <row r="268" spans="2:3" s="68" customFormat="1" ht="11.25" x14ac:dyDescent="0.2">
      <c r="B268" s="22"/>
      <c r="C268" s="22"/>
    </row>
    <row r="269" spans="2:3" s="68" customFormat="1" ht="11.25" x14ac:dyDescent="0.2">
      <c r="B269" s="22"/>
      <c r="C269" s="22"/>
    </row>
    <row r="270" spans="2:3" s="68" customFormat="1" ht="11.25" x14ac:dyDescent="0.2">
      <c r="B270" s="22"/>
      <c r="C270" s="22"/>
    </row>
    <row r="271" spans="2:3" s="68" customFormat="1" ht="11.25" x14ac:dyDescent="0.2">
      <c r="B271" s="22"/>
      <c r="C271" s="22"/>
    </row>
    <row r="272" spans="2:3" s="68" customFormat="1" ht="11.25" x14ac:dyDescent="0.2">
      <c r="B272" s="22"/>
      <c r="C272" s="22"/>
    </row>
    <row r="273" spans="2:3" s="68" customFormat="1" ht="11.25" x14ac:dyDescent="0.2">
      <c r="B273" s="22"/>
      <c r="C273" s="22"/>
    </row>
    <row r="274" spans="2:3" s="68" customFormat="1" ht="11.25" x14ac:dyDescent="0.2">
      <c r="B274" s="22"/>
      <c r="C274" s="22"/>
    </row>
    <row r="275" spans="2:3" s="68" customFormat="1" ht="11.25" x14ac:dyDescent="0.2">
      <c r="B275" s="22"/>
      <c r="C275" s="22"/>
    </row>
    <row r="276" spans="2:3" s="68" customFormat="1" ht="11.25" x14ac:dyDescent="0.2">
      <c r="B276" s="22"/>
      <c r="C276" s="22"/>
    </row>
    <row r="277" spans="2:3" s="68" customFormat="1" ht="11.25" x14ac:dyDescent="0.2">
      <c r="B277" s="22"/>
      <c r="C277" s="22"/>
    </row>
    <row r="278" spans="2:3" s="68" customFormat="1" ht="11.25" x14ac:dyDescent="0.2">
      <c r="B278" s="22"/>
      <c r="C278" s="22"/>
    </row>
    <row r="279" spans="2:3" s="68" customFormat="1" ht="11.25" x14ac:dyDescent="0.2">
      <c r="B279" s="22"/>
      <c r="C279" s="22"/>
    </row>
    <row r="280" spans="2:3" s="68" customFormat="1" ht="11.25" x14ac:dyDescent="0.2">
      <c r="B280" s="22"/>
      <c r="C280" s="22"/>
    </row>
    <row r="281" spans="2:3" s="68" customFormat="1" ht="11.25" x14ac:dyDescent="0.2">
      <c r="B281" s="22"/>
      <c r="C281" s="22"/>
    </row>
    <row r="282" spans="2:3" s="68" customFormat="1" ht="11.25" x14ac:dyDescent="0.2">
      <c r="B282" s="22"/>
      <c r="C282" s="22"/>
    </row>
    <row r="283" spans="2:3" s="68" customFormat="1" ht="11.25" x14ac:dyDescent="0.2">
      <c r="B283" s="22"/>
      <c r="C283" s="22"/>
    </row>
    <row r="284" spans="2:3" s="68" customFormat="1" ht="11.25" x14ac:dyDescent="0.2">
      <c r="B284" s="22"/>
      <c r="C284" s="22"/>
    </row>
    <row r="285" spans="2:3" s="68" customFormat="1" ht="11.25" x14ac:dyDescent="0.2">
      <c r="B285" s="22"/>
      <c r="C285" s="22"/>
    </row>
    <row r="286" spans="2:3" s="68" customFormat="1" ht="11.25" x14ac:dyDescent="0.2">
      <c r="B286" s="22"/>
      <c r="C286" s="22"/>
    </row>
    <row r="287" spans="2:3" s="68" customFormat="1" ht="11.25" x14ac:dyDescent="0.2">
      <c r="B287" s="22"/>
      <c r="C287" s="22"/>
    </row>
    <row r="288" spans="2:3" s="68" customFormat="1" ht="11.25" x14ac:dyDescent="0.2">
      <c r="B288" s="22"/>
      <c r="C288" s="22"/>
    </row>
    <row r="289" spans="2:3" s="68" customFormat="1" ht="11.25" x14ac:dyDescent="0.2">
      <c r="B289" s="22"/>
      <c r="C289" s="22"/>
    </row>
    <row r="290" spans="2:3" s="68" customFormat="1" ht="11.25" x14ac:dyDescent="0.2">
      <c r="B290" s="22"/>
      <c r="C290" s="22"/>
    </row>
    <row r="291" spans="2:3" s="68" customFormat="1" ht="11.25" x14ac:dyDescent="0.2">
      <c r="B291" s="22"/>
      <c r="C291" s="22"/>
    </row>
    <row r="292" spans="2:3" s="68" customFormat="1" ht="11.25" x14ac:dyDescent="0.2">
      <c r="B292" s="22"/>
      <c r="C292" s="22"/>
    </row>
    <row r="293" spans="2:3" s="68" customFormat="1" ht="11.25" x14ac:dyDescent="0.2">
      <c r="B293" s="22"/>
      <c r="C293" s="22"/>
    </row>
    <row r="294" spans="2:3" s="68" customFormat="1" ht="11.25" x14ac:dyDescent="0.2">
      <c r="B294" s="22"/>
      <c r="C294" s="22"/>
    </row>
    <row r="295" spans="2:3" s="68" customFormat="1" ht="11.25" x14ac:dyDescent="0.2">
      <c r="B295" s="22"/>
      <c r="C295" s="22"/>
    </row>
    <row r="296" spans="2:3" s="68" customFormat="1" ht="11.25" x14ac:dyDescent="0.2">
      <c r="B296" s="22"/>
      <c r="C296" s="22"/>
    </row>
    <row r="297" spans="2:3" s="68" customFormat="1" ht="11.25" x14ac:dyDescent="0.2">
      <c r="B297" s="22"/>
      <c r="C297" s="22"/>
    </row>
    <row r="298" spans="2:3" s="68" customFormat="1" ht="11.25" x14ac:dyDescent="0.2">
      <c r="B298" s="22"/>
      <c r="C298" s="22"/>
    </row>
    <row r="299" spans="2:3" s="68" customFormat="1" ht="11.25" x14ac:dyDescent="0.2">
      <c r="B299" s="22"/>
      <c r="C299" s="22"/>
    </row>
    <row r="300" spans="2:3" s="68" customFormat="1" ht="11.25" x14ac:dyDescent="0.2">
      <c r="B300" s="22"/>
      <c r="C300" s="22"/>
    </row>
    <row r="301" spans="2:3" s="68" customFormat="1" ht="11.25" x14ac:dyDescent="0.2">
      <c r="B301" s="22"/>
      <c r="C301" s="22"/>
    </row>
    <row r="302" spans="2:3" s="68" customFormat="1" ht="11.25" x14ac:dyDescent="0.2">
      <c r="B302" s="22"/>
      <c r="C302" s="22"/>
    </row>
    <row r="303" spans="2:3" s="68" customFormat="1" ht="11.25" x14ac:dyDescent="0.2">
      <c r="B303" s="22"/>
      <c r="C303" s="22"/>
    </row>
    <row r="304" spans="2:3" s="68" customFormat="1" ht="11.25" x14ac:dyDescent="0.2">
      <c r="B304" s="22"/>
      <c r="C304" s="22"/>
    </row>
    <row r="305" spans="2:3" s="68" customFormat="1" ht="11.25" x14ac:dyDescent="0.2">
      <c r="B305" s="22"/>
      <c r="C305" s="22"/>
    </row>
    <row r="306" spans="2:3" s="68" customFormat="1" ht="11.25" x14ac:dyDescent="0.2">
      <c r="B306" s="22"/>
      <c r="C306" s="22"/>
    </row>
    <row r="307" spans="2:3" s="68" customFormat="1" ht="11.25" x14ac:dyDescent="0.2">
      <c r="B307" s="22"/>
      <c r="C307" s="22"/>
    </row>
    <row r="308" spans="2:3" s="68" customFormat="1" ht="11.25" x14ac:dyDescent="0.2">
      <c r="B308" s="22"/>
      <c r="C308" s="22"/>
    </row>
    <row r="309" spans="2:3" s="68" customFormat="1" ht="11.25" x14ac:dyDescent="0.2">
      <c r="B309" s="22"/>
      <c r="C309" s="22"/>
    </row>
    <row r="310" spans="2:3" s="68" customFormat="1" ht="11.25" x14ac:dyDescent="0.2">
      <c r="B310" s="22"/>
      <c r="C310" s="22"/>
    </row>
    <row r="311" spans="2:3" s="68" customFormat="1" ht="11.25" x14ac:dyDescent="0.2">
      <c r="B311" s="22"/>
      <c r="C311" s="22"/>
    </row>
    <row r="312" spans="2:3" s="68" customFormat="1" ht="11.25" x14ac:dyDescent="0.2">
      <c r="B312" s="22"/>
      <c r="C312" s="22"/>
    </row>
    <row r="313" spans="2:3" s="68" customFormat="1" ht="11.25" x14ac:dyDescent="0.2">
      <c r="B313" s="22"/>
      <c r="C313" s="22"/>
    </row>
    <row r="314" spans="2:3" s="68" customFormat="1" ht="11.25" x14ac:dyDescent="0.2">
      <c r="B314" s="22"/>
      <c r="C314" s="22"/>
    </row>
    <row r="315" spans="2:3" s="68" customFormat="1" ht="11.25" x14ac:dyDescent="0.2">
      <c r="B315" s="22"/>
      <c r="C315" s="22"/>
    </row>
    <row r="316" spans="2:3" s="68" customFormat="1" ht="11.25" x14ac:dyDescent="0.2">
      <c r="B316" s="22"/>
      <c r="C316" s="22"/>
    </row>
    <row r="317" spans="2:3" s="68" customFormat="1" ht="11.25" x14ac:dyDescent="0.2">
      <c r="B317" s="22"/>
      <c r="C317" s="22"/>
    </row>
    <row r="318" spans="2:3" s="68" customFormat="1" ht="11.25" x14ac:dyDescent="0.2">
      <c r="B318" s="22"/>
      <c r="C318" s="22"/>
    </row>
    <row r="319" spans="2:3" s="68" customFormat="1" ht="11.25" x14ac:dyDescent="0.2">
      <c r="B319" s="22"/>
      <c r="C319" s="22"/>
    </row>
    <row r="320" spans="2:3" s="68" customFormat="1" ht="11.25" x14ac:dyDescent="0.2">
      <c r="B320" s="22"/>
      <c r="C320" s="22"/>
    </row>
    <row r="321" spans="2:3" s="68" customFormat="1" ht="11.25" x14ac:dyDescent="0.2">
      <c r="B321" s="22"/>
      <c r="C321" s="22"/>
    </row>
    <row r="322" spans="2:3" s="68" customFormat="1" ht="11.25" x14ac:dyDescent="0.2">
      <c r="B322" s="22"/>
      <c r="C322" s="22"/>
    </row>
    <row r="323" spans="2:3" s="68" customFormat="1" ht="11.25" x14ac:dyDescent="0.2">
      <c r="B323" s="22"/>
      <c r="C323" s="22"/>
    </row>
    <row r="324" spans="2:3" s="68" customFormat="1" ht="11.25" x14ac:dyDescent="0.2">
      <c r="B324" s="22"/>
      <c r="C324" s="22"/>
    </row>
    <row r="325" spans="2:3" s="68" customFormat="1" ht="11.25" x14ac:dyDescent="0.2">
      <c r="B325" s="22"/>
      <c r="C325" s="22"/>
    </row>
    <row r="326" spans="2:3" s="68" customFormat="1" ht="11.25" x14ac:dyDescent="0.2">
      <c r="B326" s="22"/>
      <c r="C326" s="22"/>
    </row>
    <row r="327" spans="2:3" s="68" customFormat="1" ht="11.25" x14ac:dyDescent="0.2">
      <c r="B327" s="22"/>
      <c r="C327" s="22"/>
    </row>
    <row r="328" spans="2:3" s="68" customFormat="1" ht="11.25" x14ac:dyDescent="0.2">
      <c r="B328" s="22"/>
      <c r="C328" s="22"/>
    </row>
    <row r="329" spans="2:3" s="68" customFormat="1" ht="11.25" x14ac:dyDescent="0.2">
      <c r="B329" s="22"/>
      <c r="C329" s="22"/>
    </row>
    <row r="330" spans="2:3" s="68" customFormat="1" ht="11.25" x14ac:dyDescent="0.2">
      <c r="B330" s="22"/>
      <c r="C330" s="22"/>
    </row>
    <row r="331" spans="2:3" s="68" customFormat="1" ht="11.25" x14ac:dyDescent="0.2">
      <c r="B331" s="22"/>
      <c r="C331" s="22"/>
    </row>
    <row r="332" spans="2:3" s="68" customFormat="1" ht="11.25" x14ac:dyDescent="0.2">
      <c r="B332" s="22"/>
      <c r="C332" s="22"/>
    </row>
    <row r="333" spans="2:3" s="68" customFormat="1" ht="11.25" x14ac:dyDescent="0.2">
      <c r="B333" s="22"/>
      <c r="C333" s="22"/>
    </row>
    <row r="334" spans="2:3" s="68" customFormat="1" ht="11.25" x14ac:dyDescent="0.2">
      <c r="B334" s="22"/>
      <c r="C334" s="22"/>
    </row>
    <row r="335" spans="2:3" s="68" customFormat="1" ht="11.25" x14ac:dyDescent="0.2">
      <c r="B335" s="22"/>
      <c r="C335" s="22"/>
    </row>
    <row r="336" spans="2:3" s="68" customFormat="1" ht="11.25" x14ac:dyDescent="0.2">
      <c r="B336" s="22"/>
      <c r="C336" s="22"/>
    </row>
    <row r="337" spans="2:3" s="68" customFormat="1" ht="11.25" x14ac:dyDescent="0.2">
      <c r="B337" s="22"/>
      <c r="C337" s="22"/>
    </row>
    <row r="338" spans="2:3" s="68" customFormat="1" ht="11.25" x14ac:dyDescent="0.2">
      <c r="B338" s="22"/>
      <c r="C338" s="22"/>
    </row>
    <row r="339" spans="2:3" s="68" customFormat="1" ht="11.25" x14ac:dyDescent="0.2">
      <c r="B339" s="22"/>
      <c r="C339" s="22"/>
    </row>
    <row r="340" spans="2:3" s="68" customFormat="1" ht="11.25" x14ac:dyDescent="0.2">
      <c r="B340" s="22"/>
      <c r="C340" s="22"/>
    </row>
    <row r="341" spans="2:3" s="68" customFormat="1" ht="11.25" x14ac:dyDescent="0.2">
      <c r="B341" s="22"/>
      <c r="C341" s="22"/>
    </row>
    <row r="342" spans="2:3" s="68" customFormat="1" ht="11.25" x14ac:dyDescent="0.2">
      <c r="B342" s="22"/>
      <c r="C342" s="22"/>
    </row>
    <row r="343" spans="2:3" s="68" customFormat="1" ht="11.25" x14ac:dyDescent="0.2">
      <c r="B343" s="22"/>
      <c r="C343" s="22"/>
    </row>
    <row r="344" spans="2:3" s="68" customFormat="1" ht="11.25" x14ac:dyDescent="0.2">
      <c r="B344" s="22"/>
      <c r="C344" s="22"/>
    </row>
    <row r="345" spans="2:3" s="68" customFormat="1" ht="11.25" x14ac:dyDescent="0.2">
      <c r="B345" s="22"/>
      <c r="C345" s="22"/>
    </row>
    <row r="346" spans="2:3" s="68" customFormat="1" ht="11.25" x14ac:dyDescent="0.2">
      <c r="B346" s="22"/>
      <c r="C346" s="22"/>
    </row>
    <row r="347" spans="2:3" s="68" customFormat="1" ht="11.25" x14ac:dyDescent="0.2">
      <c r="B347" s="22"/>
      <c r="C347" s="22"/>
    </row>
    <row r="348" spans="2:3" s="68" customFormat="1" ht="11.25" x14ac:dyDescent="0.2">
      <c r="B348" s="22"/>
      <c r="C348" s="22"/>
    </row>
    <row r="349" spans="2:3" s="68" customFormat="1" ht="11.25" x14ac:dyDescent="0.2">
      <c r="B349" s="22"/>
      <c r="C349" s="22"/>
    </row>
    <row r="350" spans="2:3" s="68" customFormat="1" ht="11.25" x14ac:dyDescent="0.2">
      <c r="B350" s="22"/>
      <c r="C350" s="22"/>
    </row>
    <row r="351" spans="2:3" s="68" customFormat="1" ht="11.25" x14ac:dyDescent="0.2">
      <c r="B351" s="22"/>
      <c r="C351" s="22"/>
    </row>
    <row r="352" spans="2:3" s="68" customFormat="1" ht="11.25" x14ac:dyDescent="0.2">
      <c r="B352" s="22"/>
      <c r="C352" s="22"/>
    </row>
    <row r="353" spans="2:3" s="68" customFormat="1" ht="11.25" x14ac:dyDescent="0.2">
      <c r="B353" s="22"/>
      <c r="C353" s="22"/>
    </row>
    <row r="354" spans="2:3" s="68" customFormat="1" ht="11.25" x14ac:dyDescent="0.2">
      <c r="B354" s="22"/>
      <c r="C354" s="22"/>
    </row>
    <row r="355" spans="2:3" s="68" customFormat="1" ht="11.25" x14ac:dyDescent="0.2">
      <c r="B355" s="22"/>
      <c r="C355" s="22"/>
    </row>
    <row r="356" spans="2:3" s="68" customFormat="1" ht="11.25" x14ac:dyDescent="0.2">
      <c r="B356" s="22"/>
      <c r="C356" s="22"/>
    </row>
    <row r="357" spans="2:3" s="68" customFormat="1" ht="11.25" x14ac:dyDescent="0.2">
      <c r="B357" s="22"/>
      <c r="C357" s="22"/>
    </row>
    <row r="358" spans="2:3" s="68" customFormat="1" ht="11.25" x14ac:dyDescent="0.2">
      <c r="B358" s="22"/>
      <c r="C358" s="22"/>
    </row>
    <row r="359" spans="2:3" s="68" customFormat="1" ht="11.25" x14ac:dyDescent="0.2">
      <c r="B359" s="22"/>
      <c r="C359" s="22"/>
    </row>
    <row r="360" spans="2:3" s="68" customFormat="1" ht="11.25" x14ac:dyDescent="0.2">
      <c r="B360" s="22"/>
      <c r="C360" s="22"/>
    </row>
    <row r="361" spans="2:3" s="68" customFormat="1" ht="11.25" x14ac:dyDescent="0.2">
      <c r="B361" s="22"/>
      <c r="C361" s="22"/>
    </row>
    <row r="362" spans="2:3" s="68" customFormat="1" ht="11.25" x14ac:dyDescent="0.2">
      <c r="B362" s="22"/>
      <c r="C362" s="22"/>
    </row>
    <row r="363" spans="2:3" s="68" customFormat="1" ht="11.25" x14ac:dyDescent="0.2">
      <c r="B363" s="22"/>
      <c r="C363" s="22"/>
    </row>
    <row r="364" spans="2:3" s="68" customFormat="1" ht="11.25" x14ac:dyDescent="0.2">
      <c r="B364" s="22"/>
      <c r="C364" s="22"/>
    </row>
    <row r="365" spans="2:3" s="68" customFormat="1" ht="11.25" x14ac:dyDescent="0.2">
      <c r="B365" s="22"/>
      <c r="C365" s="22"/>
    </row>
    <row r="366" spans="2:3" s="68" customFormat="1" ht="11.25" x14ac:dyDescent="0.2">
      <c r="B366" s="22"/>
      <c r="C366" s="22"/>
    </row>
    <row r="367" spans="2:3" s="68" customFormat="1" ht="11.25" x14ac:dyDescent="0.2">
      <c r="B367" s="22"/>
      <c r="C367" s="22"/>
    </row>
    <row r="368" spans="2:3" s="68" customFormat="1" ht="11.25" x14ac:dyDescent="0.2">
      <c r="B368" s="22"/>
      <c r="C368" s="22"/>
    </row>
    <row r="369" spans="2:3" s="68" customFormat="1" ht="11.25" x14ac:dyDescent="0.2">
      <c r="B369" s="22"/>
      <c r="C369" s="22"/>
    </row>
    <row r="370" spans="2:3" s="68" customFormat="1" ht="11.25" x14ac:dyDescent="0.2">
      <c r="B370" s="22"/>
      <c r="C370" s="22"/>
    </row>
    <row r="371" spans="2:3" s="68" customFormat="1" ht="11.25" x14ac:dyDescent="0.2">
      <c r="B371" s="22"/>
      <c r="C371" s="22"/>
    </row>
    <row r="372" spans="2:3" s="68" customFormat="1" ht="11.25" x14ac:dyDescent="0.2">
      <c r="B372" s="22"/>
      <c r="C372" s="22"/>
    </row>
    <row r="373" spans="2:3" s="68" customFormat="1" ht="11.25" x14ac:dyDescent="0.2">
      <c r="B373" s="22"/>
      <c r="C373" s="22"/>
    </row>
    <row r="374" spans="2:3" s="68" customFormat="1" ht="11.25" x14ac:dyDescent="0.2">
      <c r="B374" s="22"/>
      <c r="C374" s="22"/>
    </row>
    <row r="375" spans="2:3" s="68" customFormat="1" ht="11.25" x14ac:dyDescent="0.2">
      <c r="B375" s="22"/>
      <c r="C375" s="22"/>
    </row>
    <row r="376" spans="2:3" s="68" customFormat="1" ht="11.25" x14ac:dyDescent="0.2">
      <c r="B376" s="22"/>
      <c r="C376" s="22"/>
    </row>
    <row r="377" spans="2:3" s="68" customFormat="1" ht="11.25" x14ac:dyDescent="0.2">
      <c r="B377" s="22"/>
      <c r="C377" s="22"/>
    </row>
    <row r="378" spans="2:3" s="68" customFormat="1" ht="11.25" x14ac:dyDescent="0.2">
      <c r="B378" s="22"/>
      <c r="C378" s="22"/>
    </row>
    <row r="379" spans="2:3" s="68" customFormat="1" ht="11.25" x14ac:dyDescent="0.2">
      <c r="B379" s="22"/>
      <c r="C379" s="22"/>
    </row>
    <row r="380" spans="2:3" s="68" customFormat="1" ht="11.25" x14ac:dyDescent="0.2">
      <c r="B380" s="22"/>
      <c r="C380" s="22"/>
    </row>
    <row r="381" spans="2:3" s="68" customFormat="1" ht="11.25" x14ac:dyDescent="0.2">
      <c r="B381" s="22"/>
      <c r="C381" s="22"/>
    </row>
    <row r="382" spans="2:3" s="68" customFormat="1" ht="11.25" x14ac:dyDescent="0.2">
      <c r="B382" s="22"/>
      <c r="C382" s="22"/>
    </row>
    <row r="383" spans="2:3" s="68" customFormat="1" ht="11.25" x14ac:dyDescent="0.2">
      <c r="B383" s="22"/>
      <c r="C383" s="22"/>
    </row>
    <row r="384" spans="2:3" s="68" customFormat="1" ht="11.25" x14ac:dyDescent="0.2">
      <c r="B384" s="22"/>
      <c r="C384" s="22"/>
    </row>
    <row r="385" spans="2:3" s="68" customFormat="1" ht="11.25" x14ac:dyDescent="0.2">
      <c r="B385" s="22"/>
      <c r="C385" s="22"/>
    </row>
    <row r="386" spans="2:3" s="68" customFormat="1" ht="11.25" x14ac:dyDescent="0.2">
      <c r="B386" s="22"/>
      <c r="C386" s="22"/>
    </row>
    <row r="387" spans="2:3" s="68" customFormat="1" ht="11.25" x14ac:dyDescent="0.2">
      <c r="B387" s="22"/>
      <c r="C387" s="22"/>
    </row>
    <row r="388" spans="2:3" s="68" customFormat="1" ht="11.25" x14ac:dyDescent="0.2">
      <c r="B388" s="22"/>
      <c r="C388" s="22"/>
    </row>
    <row r="389" spans="2:3" s="68" customFormat="1" ht="11.25" x14ac:dyDescent="0.2">
      <c r="B389" s="22"/>
      <c r="C389" s="22"/>
    </row>
    <row r="390" spans="2:3" s="68" customFormat="1" ht="11.25" x14ac:dyDescent="0.2">
      <c r="B390" s="22"/>
      <c r="C390" s="22"/>
    </row>
    <row r="391" spans="2:3" s="68" customFormat="1" ht="11.25" x14ac:dyDescent="0.2">
      <c r="B391" s="22"/>
      <c r="C391" s="22"/>
    </row>
    <row r="392" spans="2:3" s="68" customFormat="1" ht="11.25" x14ac:dyDescent="0.2">
      <c r="B392" s="22"/>
      <c r="C392" s="22"/>
    </row>
    <row r="393" spans="2:3" s="68" customFormat="1" ht="11.25" x14ac:dyDescent="0.2">
      <c r="B393" s="22"/>
      <c r="C393" s="22"/>
    </row>
    <row r="394" spans="2:3" s="68" customFormat="1" ht="11.25" x14ac:dyDescent="0.2">
      <c r="B394" s="22"/>
      <c r="C394" s="22"/>
    </row>
    <row r="395" spans="2:3" s="68" customFormat="1" ht="11.25" x14ac:dyDescent="0.2">
      <c r="B395" s="22"/>
      <c r="C395" s="22"/>
    </row>
    <row r="396" spans="2:3" s="68" customFormat="1" ht="11.25" x14ac:dyDescent="0.2">
      <c r="B396" s="22"/>
      <c r="C396" s="22"/>
    </row>
    <row r="397" spans="2:3" s="68" customFormat="1" ht="11.25" x14ac:dyDescent="0.2">
      <c r="B397" s="22"/>
      <c r="C397" s="22"/>
    </row>
    <row r="398" spans="2:3" s="68" customFormat="1" ht="11.25" x14ac:dyDescent="0.2">
      <c r="B398" s="22"/>
      <c r="C398" s="22"/>
    </row>
    <row r="399" spans="2:3" s="68" customFormat="1" ht="11.25" x14ac:dyDescent="0.2">
      <c r="B399" s="22"/>
      <c r="C399" s="22"/>
    </row>
    <row r="400" spans="2:3" s="68" customFormat="1" ht="11.25" x14ac:dyDescent="0.2">
      <c r="B400" s="22"/>
      <c r="C400" s="22"/>
    </row>
    <row r="401" spans="2:3" s="68" customFormat="1" ht="11.25" x14ac:dyDescent="0.2">
      <c r="B401" s="22"/>
      <c r="C401" s="22"/>
    </row>
    <row r="402" spans="2:3" s="68" customFormat="1" ht="11.25" x14ac:dyDescent="0.2">
      <c r="B402" s="22"/>
      <c r="C402" s="22"/>
    </row>
    <row r="403" spans="2:3" s="68" customFormat="1" ht="11.25" x14ac:dyDescent="0.2">
      <c r="B403" s="22"/>
      <c r="C403" s="22"/>
    </row>
    <row r="404" spans="2:3" s="68" customFormat="1" ht="11.25" x14ac:dyDescent="0.2">
      <c r="B404" s="22"/>
      <c r="C404" s="22"/>
    </row>
    <row r="405" spans="2:3" s="68" customFormat="1" ht="11.25" x14ac:dyDescent="0.2">
      <c r="B405" s="22"/>
      <c r="C405" s="22"/>
    </row>
    <row r="406" spans="2:3" s="68" customFormat="1" ht="11.25" x14ac:dyDescent="0.2">
      <c r="B406" s="22"/>
      <c r="C406" s="22"/>
    </row>
    <row r="407" spans="2:3" s="68" customFormat="1" ht="11.25" x14ac:dyDescent="0.2">
      <c r="B407" s="22"/>
      <c r="C407" s="22"/>
    </row>
    <row r="408" spans="2:3" s="68" customFormat="1" ht="11.25" x14ac:dyDescent="0.2">
      <c r="B408" s="22"/>
      <c r="C408" s="22"/>
    </row>
    <row r="409" spans="2:3" s="68" customFormat="1" ht="11.25" x14ac:dyDescent="0.2">
      <c r="B409" s="22"/>
      <c r="C409" s="22"/>
    </row>
    <row r="410" spans="2:3" s="68" customFormat="1" ht="11.25" x14ac:dyDescent="0.2">
      <c r="B410" s="22"/>
      <c r="C410" s="22"/>
    </row>
    <row r="411" spans="2:3" s="68" customFormat="1" ht="11.25" x14ac:dyDescent="0.2">
      <c r="B411" s="22"/>
      <c r="C411" s="22"/>
    </row>
    <row r="412" spans="2:3" s="68" customFormat="1" ht="11.25" x14ac:dyDescent="0.2">
      <c r="B412" s="22"/>
      <c r="C412" s="22"/>
    </row>
    <row r="413" spans="2:3" s="68" customFormat="1" ht="11.25" x14ac:dyDescent="0.2">
      <c r="B413" s="22"/>
      <c r="C413" s="22"/>
    </row>
    <row r="414" spans="2:3" s="68" customFormat="1" ht="11.25" x14ac:dyDescent="0.2">
      <c r="B414" s="22"/>
      <c r="C414" s="22"/>
    </row>
    <row r="415" spans="2:3" s="68" customFormat="1" ht="11.25" x14ac:dyDescent="0.2">
      <c r="B415" s="22"/>
      <c r="C415" s="22"/>
    </row>
    <row r="416" spans="2:3" s="68" customFormat="1" ht="11.25" x14ac:dyDescent="0.2">
      <c r="B416" s="22"/>
      <c r="C416" s="22"/>
    </row>
    <row r="417" spans="2:3" s="68" customFormat="1" ht="11.25" x14ac:dyDescent="0.2">
      <c r="B417" s="22"/>
      <c r="C417" s="22"/>
    </row>
    <row r="418" spans="2:3" s="68" customFormat="1" ht="11.25" x14ac:dyDescent="0.2">
      <c r="B418" s="22"/>
      <c r="C418" s="22"/>
    </row>
    <row r="419" spans="2:3" s="68" customFormat="1" ht="11.25" x14ac:dyDescent="0.2">
      <c r="B419" s="22"/>
      <c r="C419" s="22"/>
    </row>
    <row r="420" spans="2:3" s="68" customFormat="1" ht="11.25" x14ac:dyDescent="0.2">
      <c r="B420" s="22"/>
      <c r="C420" s="22"/>
    </row>
    <row r="421" spans="2:3" s="68" customFormat="1" ht="11.25" x14ac:dyDescent="0.2">
      <c r="B421" s="22"/>
      <c r="C421" s="22"/>
    </row>
    <row r="422" spans="2:3" s="68" customFormat="1" ht="11.25" x14ac:dyDescent="0.2">
      <c r="B422" s="22"/>
      <c r="C422" s="22"/>
    </row>
    <row r="423" spans="2:3" s="68" customFormat="1" ht="11.25" x14ac:dyDescent="0.2">
      <c r="B423" s="22"/>
      <c r="C423" s="22"/>
    </row>
    <row r="424" spans="2:3" s="68" customFormat="1" ht="11.25" x14ac:dyDescent="0.2">
      <c r="B424" s="22"/>
      <c r="C424" s="22"/>
    </row>
    <row r="425" spans="2:3" s="68" customFormat="1" ht="11.25" x14ac:dyDescent="0.2">
      <c r="B425" s="22"/>
      <c r="C425" s="22"/>
    </row>
    <row r="426" spans="2:3" s="68" customFormat="1" ht="11.25" x14ac:dyDescent="0.2">
      <c r="B426" s="22"/>
      <c r="C426" s="22"/>
    </row>
    <row r="427" spans="2:3" s="68" customFormat="1" ht="11.25" x14ac:dyDescent="0.2">
      <c r="B427" s="22"/>
      <c r="C427" s="22"/>
    </row>
    <row r="428" spans="2:3" s="68" customFormat="1" ht="11.25" x14ac:dyDescent="0.2">
      <c r="B428" s="22"/>
      <c r="C428" s="22"/>
    </row>
    <row r="429" spans="2:3" s="68" customFormat="1" ht="11.25" x14ac:dyDescent="0.2">
      <c r="B429" s="22"/>
      <c r="C429" s="22"/>
    </row>
    <row r="430" spans="2:3" s="68" customFormat="1" ht="11.25" x14ac:dyDescent="0.2">
      <c r="B430" s="22"/>
      <c r="C430" s="22"/>
    </row>
    <row r="431" spans="2:3" s="68" customFormat="1" ht="11.25" x14ac:dyDescent="0.2">
      <c r="B431" s="22"/>
      <c r="C431" s="22"/>
    </row>
    <row r="432" spans="2:3" s="68" customFormat="1" ht="11.25" x14ac:dyDescent="0.2">
      <c r="B432" s="22"/>
      <c r="C432" s="22"/>
    </row>
    <row r="433" spans="2:3" s="68" customFormat="1" ht="11.25" x14ac:dyDescent="0.2">
      <c r="B433" s="22"/>
      <c r="C433" s="22"/>
    </row>
    <row r="434" spans="2:3" s="68" customFormat="1" ht="11.25" x14ac:dyDescent="0.2">
      <c r="B434" s="22"/>
      <c r="C434" s="22"/>
    </row>
    <row r="435" spans="2:3" s="68" customFormat="1" ht="11.25" x14ac:dyDescent="0.2">
      <c r="B435" s="22"/>
      <c r="C435" s="22"/>
    </row>
    <row r="436" spans="2:3" s="68" customFormat="1" ht="11.25" x14ac:dyDescent="0.2">
      <c r="B436" s="22"/>
      <c r="C436" s="22"/>
    </row>
    <row r="437" spans="2:3" s="68" customFormat="1" ht="11.25" x14ac:dyDescent="0.2">
      <c r="B437" s="22"/>
      <c r="C437" s="22"/>
    </row>
    <row r="438" spans="2:3" s="68" customFormat="1" ht="11.25" x14ac:dyDescent="0.2">
      <c r="B438" s="22"/>
      <c r="C438" s="22"/>
    </row>
    <row r="439" spans="2:3" s="68" customFormat="1" ht="11.25" x14ac:dyDescent="0.2">
      <c r="B439" s="22"/>
      <c r="C439" s="22"/>
    </row>
    <row r="440" spans="2:3" s="68" customFormat="1" ht="11.25" x14ac:dyDescent="0.2">
      <c r="B440" s="22"/>
      <c r="C440" s="22"/>
    </row>
    <row r="441" spans="2:3" s="68" customFormat="1" ht="11.25" x14ac:dyDescent="0.2">
      <c r="B441" s="22"/>
      <c r="C441" s="22"/>
    </row>
    <row r="442" spans="2:3" s="68" customFormat="1" ht="11.25" x14ac:dyDescent="0.2">
      <c r="B442" s="22"/>
      <c r="C442" s="22"/>
    </row>
    <row r="443" spans="2:3" s="68" customFormat="1" ht="11.25" x14ac:dyDescent="0.2">
      <c r="B443" s="22"/>
      <c r="C443" s="22"/>
    </row>
    <row r="444" spans="2:3" s="68" customFormat="1" ht="11.25" x14ac:dyDescent="0.2">
      <c r="B444" s="22"/>
      <c r="C444" s="22"/>
    </row>
    <row r="445" spans="2:3" s="68" customFormat="1" ht="11.25" x14ac:dyDescent="0.2">
      <c r="B445" s="22"/>
      <c r="C445" s="22"/>
    </row>
    <row r="446" spans="2:3" s="68" customFormat="1" ht="11.25" x14ac:dyDescent="0.2">
      <c r="B446" s="22"/>
      <c r="C446" s="22"/>
    </row>
    <row r="447" spans="2:3" s="68" customFormat="1" ht="11.25" x14ac:dyDescent="0.2">
      <c r="B447" s="22"/>
      <c r="C447" s="22"/>
    </row>
    <row r="448" spans="2:3" s="68" customFormat="1" ht="11.25" x14ac:dyDescent="0.2">
      <c r="B448" s="22"/>
      <c r="C448" s="22"/>
    </row>
    <row r="449" spans="2:3" s="68" customFormat="1" ht="11.25" x14ac:dyDescent="0.2">
      <c r="B449" s="22"/>
      <c r="C449" s="22"/>
    </row>
    <row r="450" spans="2:3" s="68" customFormat="1" ht="11.25" x14ac:dyDescent="0.2">
      <c r="B450" s="22"/>
      <c r="C450" s="22"/>
    </row>
    <row r="451" spans="2:3" s="68" customFormat="1" ht="11.25" x14ac:dyDescent="0.2">
      <c r="B451" s="22"/>
      <c r="C451" s="22"/>
    </row>
    <row r="452" spans="2:3" s="68" customFormat="1" ht="11.25" x14ac:dyDescent="0.2">
      <c r="B452" s="22"/>
      <c r="C452" s="22"/>
    </row>
    <row r="453" spans="2:3" s="68" customFormat="1" ht="11.25" x14ac:dyDescent="0.2">
      <c r="B453" s="22"/>
      <c r="C453" s="22"/>
    </row>
    <row r="454" spans="2:3" s="68" customFormat="1" ht="11.25" x14ac:dyDescent="0.2">
      <c r="B454" s="22"/>
      <c r="C454" s="22"/>
    </row>
    <row r="455" spans="2:3" s="68" customFormat="1" ht="11.25" x14ac:dyDescent="0.2">
      <c r="B455" s="22"/>
      <c r="C455" s="22"/>
    </row>
    <row r="456" spans="2:3" s="68" customFormat="1" ht="11.25" x14ac:dyDescent="0.2">
      <c r="B456" s="22"/>
      <c r="C456" s="22"/>
    </row>
    <row r="457" spans="2:3" s="68" customFormat="1" ht="11.25" x14ac:dyDescent="0.2">
      <c r="B457" s="22"/>
      <c r="C457" s="22"/>
    </row>
    <row r="458" spans="2:3" s="68" customFormat="1" ht="11.25" x14ac:dyDescent="0.2">
      <c r="B458" s="22"/>
      <c r="C458" s="22"/>
    </row>
    <row r="459" spans="2:3" s="68" customFormat="1" ht="11.25" x14ac:dyDescent="0.2">
      <c r="B459" s="22"/>
      <c r="C459" s="22"/>
    </row>
    <row r="460" spans="2:3" s="68" customFormat="1" ht="11.25" x14ac:dyDescent="0.2">
      <c r="B460" s="22"/>
      <c r="C460" s="22"/>
    </row>
    <row r="461" spans="2:3" s="68" customFormat="1" ht="11.25" x14ac:dyDescent="0.2">
      <c r="B461" s="22"/>
      <c r="C461" s="22"/>
    </row>
    <row r="462" spans="2:3" s="68" customFormat="1" ht="11.25" x14ac:dyDescent="0.2">
      <c r="B462" s="22"/>
      <c r="C462" s="22"/>
    </row>
    <row r="463" spans="2:3" s="68" customFormat="1" ht="11.25" x14ac:dyDescent="0.2">
      <c r="B463" s="22"/>
      <c r="C463" s="22"/>
    </row>
    <row r="464" spans="2:3" s="68" customFormat="1" ht="11.25" x14ac:dyDescent="0.2">
      <c r="B464" s="22"/>
      <c r="C464" s="22"/>
    </row>
    <row r="465" spans="2:3" s="68" customFormat="1" ht="11.25" x14ac:dyDescent="0.2">
      <c r="B465" s="22"/>
      <c r="C465" s="22"/>
    </row>
    <row r="466" spans="2:3" s="68" customFormat="1" ht="11.25" x14ac:dyDescent="0.2">
      <c r="B466" s="22"/>
      <c r="C466" s="22"/>
    </row>
    <row r="467" spans="2:3" s="68" customFormat="1" ht="11.25" x14ac:dyDescent="0.2">
      <c r="B467" s="22"/>
      <c r="C467" s="22"/>
    </row>
    <row r="468" spans="2:3" s="68" customFormat="1" ht="11.25" x14ac:dyDescent="0.2">
      <c r="B468" s="22"/>
      <c r="C468" s="22"/>
    </row>
    <row r="469" spans="2:3" s="68" customFormat="1" ht="11.25" x14ac:dyDescent="0.2">
      <c r="B469" s="22"/>
      <c r="C469" s="22"/>
    </row>
    <row r="470" spans="2:3" s="68" customFormat="1" ht="11.25" x14ac:dyDescent="0.2">
      <c r="B470" s="22"/>
      <c r="C470" s="22"/>
    </row>
    <row r="471" spans="2:3" s="68" customFormat="1" ht="11.25" x14ac:dyDescent="0.2">
      <c r="B471" s="22"/>
      <c r="C471" s="22"/>
    </row>
    <row r="472" spans="2:3" s="68" customFormat="1" ht="11.25" x14ac:dyDescent="0.2">
      <c r="B472" s="22"/>
      <c r="C472" s="22"/>
    </row>
    <row r="473" spans="2:3" s="68" customFormat="1" ht="11.25" x14ac:dyDescent="0.2">
      <c r="B473" s="22"/>
      <c r="C473" s="22"/>
    </row>
    <row r="474" spans="2:3" s="68" customFormat="1" ht="11.25" x14ac:dyDescent="0.2">
      <c r="B474" s="22"/>
      <c r="C474" s="22"/>
    </row>
    <row r="475" spans="2:3" s="68" customFormat="1" ht="11.25" x14ac:dyDescent="0.2">
      <c r="B475" s="22"/>
      <c r="C475" s="22"/>
    </row>
    <row r="476" spans="2:3" s="68" customFormat="1" ht="11.25" x14ac:dyDescent="0.2">
      <c r="B476" s="22"/>
      <c r="C476" s="22"/>
    </row>
    <row r="477" spans="2:3" s="68" customFormat="1" ht="11.25" x14ac:dyDescent="0.2">
      <c r="B477" s="22"/>
      <c r="C477" s="22"/>
    </row>
    <row r="478" spans="2:3" s="68" customFormat="1" ht="11.25" x14ac:dyDescent="0.2">
      <c r="B478" s="22"/>
      <c r="C478" s="22"/>
    </row>
    <row r="479" spans="2:3" s="68" customFormat="1" ht="11.25" x14ac:dyDescent="0.2">
      <c r="B479" s="22"/>
      <c r="C479" s="22"/>
    </row>
    <row r="480" spans="2:3" s="68" customFormat="1" ht="11.25" x14ac:dyDescent="0.2">
      <c r="B480" s="22"/>
      <c r="C480" s="22"/>
    </row>
    <row r="481" spans="2:3" s="68" customFormat="1" ht="11.25" x14ac:dyDescent="0.2">
      <c r="B481" s="22"/>
      <c r="C481" s="22"/>
    </row>
    <row r="482" spans="2:3" s="68" customFormat="1" ht="11.25" x14ac:dyDescent="0.2">
      <c r="B482" s="22"/>
      <c r="C482" s="22"/>
    </row>
    <row r="483" spans="2:3" s="68" customFormat="1" ht="11.25" x14ac:dyDescent="0.2">
      <c r="B483" s="22"/>
      <c r="C483" s="22"/>
    </row>
    <row r="484" spans="2:3" s="68" customFormat="1" ht="11.25" x14ac:dyDescent="0.2">
      <c r="B484" s="22"/>
      <c r="C484" s="22"/>
    </row>
    <row r="485" spans="2:3" s="68" customFormat="1" ht="11.25" x14ac:dyDescent="0.2">
      <c r="B485" s="22"/>
      <c r="C485" s="22"/>
    </row>
    <row r="486" spans="2:3" s="68" customFormat="1" ht="11.25" x14ac:dyDescent="0.2">
      <c r="B486" s="22"/>
      <c r="C486" s="22"/>
    </row>
    <row r="487" spans="2:3" s="68" customFormat="1" ht="11.25" x14ac:dyDescent="0.2">
      <c r="B487" s="22"/>
      <c r="C487" s="22"/>
    </row>
    <row r="488" spans="2:3" s="68" customFormat="1" ht="11.25" x14ac:dyDescent="0.2">
      <c r="B488" s="22"/>
      <c r="C488" s="22"/>
    </row>
    <row r="489" spans="2:3" s="68" customFormat="1" ht="11.25" x14ac:dyDescent="0.2">
      <c r="B489" s="22"/>
      <c r="C489" s="22"/>
    </row>
    <row r="490" spans="2:3" s="68" customFormat="1" ht="11.25" x14ac:dyDescent="0.2">
      <c r="B490" s="22"/>
      <c r="C490" s="22"/>
    </row>
    <row r="491" spans="2:3" s="68" customFormat="1" ht="11.25" x14ac:dyDescent="0.2">
      <c r="B491" s="22"/>
      <c r="C491" s="22"/>
    </row>
    <row r="492" spans="2:3" s="68" customFormat="1" ht="11.25" x14ac:dyDescent="0.2">
      <c r="B492" s="22"/>
      <c r="C492" s="22"/>
    </row>
    <row r="493" spans="2:3" s="68" customFormat="1" ht="11.25" x14ac:dyDescent="0.2">
      <c r="B493" s="22"/>
      <c r="C493" s="22"/>
    </row>
    <row r="494" spans="2:3" s="68" customFormat="1" ht="11.25" x14ac:dyDescent="0.2">
      <c r="B494" s="22"/>
      <c r="C494" s="22"/>
    </row>
    <row r="495" spans="2:3" s="68" customFormat="1" ht="11.25" x14ac:dyDescent="0.2">
      <c r="B495" s="22"/>
      <c r="C495" s="22"/>
    </row>
    <row r="496" spans="2:3" s="68" customFormat="1" ht="11.25" x14ac:dyDescent="0.2">
      <c r="B496" s="22"/>
      <c r="C496" s="22"/>
    </row>
    <row r="497" spans="2:3" s="68" customFormat="1" ht="11.25" x14ac:dyDescent="0.2">
      <c r="B497" s="22"/>
      <c r="C497" s="22"/>
    </row>
    <row r="498" spans="2:3" s="68" customFormat="1" ht="11.25" x14ac:dyDescent="0.2">
      <c r="B498" s="22"/>
      <c r="C498" s="22"/>
    </row>
    <row r="499" spans="2:3" s="68" customFormat="1" ht="11.25" x14ac:dyDescent="0.2">
      <c r="B499" s="22"/>
      <c r="C499" s="22"/>
    </row>
    <row r="500" spans="2:3" s="68" customFormat="1" ht="11.25" x14ac:dyDescent="0.2">
      <c r="B500" s="22"/>
      <c r="C500" s="22"/>
    </row>
    <row r="501" spans="2:3" s="68" customFormat="1" ht="11.25" x14ac:dyDescent="0.2">
      <c r="B501" s="22"/>
      <c r="C501" s="22"/>
    </row>
    <row r="502" spans="2:3" s="68" customFormat="1" ht="11.25" x14ac:dyDescent="0.2">
      <c r="B502" s="22"/>
      <c r="C502" s="22"/>
    </row>
    <row r="503" spans="2:3" s="68" customFormat="1" ht="11.25" x14ac:dyDescent="0.2">
      <c r="B503" s="22"/>
      <c r="C503" s="22"/>
    </row>
    <row r="504" spans="2:3" s="68" customFormat="1" ht="11.25" x14ac:dyDescent="0.2">
      <c r="B504" s="22"/>
      <c r="C504" s="22"/>
    </row>
    <row r="505" spans="2:3" s="68" customFormat="1" ht="11.25" x14ac:dyDescent="0.2">
      <c r="B505" s="22"/>
      <c r="C505" s="22"/>
    </row>
    <row r="506" spans="2:3" s="68" customFormat="1" ht="11.25" x14ac:dyDescent="0.2">
      <c r="B506" s="22"/>
      <c r="C506" s="22"/>
    </row>
    <row r="507" spans="2:3" s="68" customFormat="1" ht="11.25" x14ac:dyDescent="0.2">
      <c r="B507" s="22"/>
      <c r="C507" s="22"/>
    </row>
    <row r="508" spans="2:3" s="68" customFormat="1" ht="11.25" x14ac:dyDescent="0.2">
      <c r="B508" s="22"/>
      <c r="C508" s="22"/>
    </row>
    <row r="509" spans="2:3" s="68" customFormat="1" ht="11.25" x14ac:dyDescent="0.2">
      <c r="B509" s="22"/>
      <c r="C509" s="22"/>
    </row>
    <row r="510" spans="2:3" s="68" customFormat="1" ht="11.25" x14ac:dyDescent="0.2">
      <c r="B510" s="22"/>
      <c r="C510" s="22"/>
    </row>
    <row r="511" spans="2:3" s="68" customFormat="1" ht="11.25" x14ac:dyDescent="0.2">
      <c r="B511" s="22"/>
      <c r="C511" s="22"/>
    </row>
    <row r="512" spans="2:3" s="68" customFormat="1" ht="11.25" x14ac:dyDescent="0.2">
      <c r="B512" s="22"/>
      <c r="C512" s="22"/>
    </row>
    <row r="513" spans="2:3" s="68" customFormat="1" ht="11.25" x14ac:dyDescent="0.2">
      <c r="B513" s="22"/>
      <c r="C513" s="22"/>
    </row>
    <row r="514" spans="2:3" s="68" customFormat="1" ht="11.25" x14ac:dyDescent="0.2">
      <c r="B514" s="22"/>
      <c r="C514" s="22"/>
    </row>
    <row r="515" spans="2:3" s="68" customFormat="1" ht="11.25" x14ac:dyDescent="0.2">
      <c r="B515" s="22"/>
      <c r="C515" s="22"/>
    </row>
    <row r="516" spans="2:3" s="68" customFormat="1" ht="11.25" x14ac:dyDescent="0.2">
      <c r="B516" s="22"/>
      <c r="C516" s="22"/>
    </row>
    <row r="517" spans="2:3" s="68" customFormat="1" ht="11.25" x14ac:dyDescent="0.2">
      <c r="B517" s="22"/>
      <c r="C517" s="22"/>
    </row>
    <row r="518" spans="2:3" s="68" customFormat="1" ht="11.25" x14ac:dyDescent="0.2">
      <c r="B518" s="22"/>
      <c r="C518" s="22"/>
    </row>
    <row r="519" spans="2:3" s="68" customFormat="1" ht="11.25" x14ac:dyDescent="0.2">
      <c r="B519" s="22"/>
      <c r="C519" s="22"/>
    </row>
    <row r="520" spans="2:3" s="68" customFormat="1" ht="11.25" x14ac:dyDescent="0.2">
      <c r="B520" s="22"/>
      <c r="C520" s="22"/>
    </row>
    <row r="521" spans="2:3" s="68" customFormat="1" ht="11.25" x14ac:dyDescent="0.2">
      <c r="B521" s="22"/>
      <c r="C521" s="22"/>
    </row>
    <row r="522" spans="2:3" s="68" customFormat="1" ht="11.25" x14ac:dyDescent="0.2">
      <c r="B522" s="22"/>
      <c r="C522" s="22"/>
    </row>
    <row r="523" spans="2:3" s="68" customFormat="1" ht="11.25" x14ac:dyDescent="0.2">
      <c r="B523" s="22"/>
      <c r="C523" s="22"/>
    </row>
    <row r="524" spans="2:3" s="68" customFormat="1" ht="11.25" x14ac:dyDescent="0.2">
      <c r="B524" s="22"/>
      <c r="C524" s="22"/>
    </row>
    <row r="525" spans="2:3" s="68" customFormat="1" ht="11.25" x14ac:dyDescent="0.2">
      <c r="B525" s="22"/>
      <c r="C525" s="22"/>
    </row>
    <row r="526" spans="2:3" s="68" customFormat="1" ht="11.25" x14ac:dyDescent="0.2">
      <c r="B526" s="22"/>
      <c r="C526" s="22"/>
    </row>
    <row r="527" spans="2:3" s="68" customFormat="1" ht="11.25" x14ac:dyDescent="0.2">
      <c r="B527" s="22"/>
      <c r="C527" s="22"/>
    </row>
    <row r="528" spans="2:3" s="68" customFormat="1" ht="11.25" x14ac:dyDescent="0.2">
      <c r="B528" s="22"/>
      <c r="C528" s="22"/>
    </row>
    <row r="529" spans="2:3" s="68" customFormat="1" ht="11.25" x14ac:dyDescent="0.2">
      <c r="B529" s="22"/>
      <c r="C529" s="22"/>
    </row>
    <row r="530" spans="2:3" s="68" customFormat="1" ht="11.25" x14ac:dyDescent="0.2">
      <c r="B530" s="22"/>
      <c r="C530" s="22"/>
    </row>
    <row r="531" spans="2:3" s="68" customFormat="1" ht="11.25" x14ac:dyDescent="0.2">
      <c r="B531" s="22"/>
      <c r="C531" s="22"/>
    </row>
    <row r="532" spans="2:3" s="68" customFormat="1" ht="11.25" x14ac:dyDescent="0.2">
      <c r="B532" s="22"/>
      <c r="C532" s="22"/>
    </row>
    <row r="533" spans="2:3" s="68" customFormat="1" ht="11.25" x14ac:dyDescent="0.2">
      <c r="B533" s="22"/>
      <c r="C533" s="22"/>
    </row>
    <row r="534" spans="2:3" s="68" customFormat="1" ht="11.25" x14ac:dyDescent="0.2">
      <c r="B534" s="22"/>
      <c r="C534" s="22"/>
    </row>
    <row r="535" spans="2:3" s="68" customFormat="1" ht="11.25" x14ac:dyDescent="0.2">
      <c r="B535" s="22"/>
      <c r="C535" s="22"/>
    </row>
    <row r="536" spans="2:3" s="68" customFormat="1" ht="11.25" x14ac:dyDescent="0.2">
      <c r="B536" s="22"/>
      <c r="C536" s="22"/>
    </row>
    <row r="537" spans="2:3" s="68" customFormat="1" ht="11.25" x14ac:dyDescent="0.2">
      <c r="B537" s="22"/>
      <c r="C537" s="22"/>
    </row>
    <row r="538" spans="2:3" s="68" customFormat="1" ht="11.25" x14ac:dyDescent="0.2">
      <c r="B538" s="22"/>
      <c r="C538" s="22"/>
    </row>
    <row r="539" spans="2:3" s="68" customFormat="1" ht="11.25" x14ac:dyDescent="0.2">
      <c r="B539" s="22"/>
      <c r="C539" s="22"/>
    </row>
    <row r="540" spans="2:3" s="68" customFormat="1" ht="11.25" x14ac:dyDescent="0.2">
      <c r="B540" s="22"/>
      <c r="C540" s="22"/>
    </row>
    <row r="541" spans="2:3" s="68" customFormat="1" ht="11.25" x14ac:dyDescent="0.2">
      <c r="B541" s="22"/>
      <c r="C541" s="22"/>
    </row>
    <row r="542" spans="2:3" s="68" customFormat="1" ht="11.25" x14ac:dyDescent="0.2">
      <c r="B542" s="22"/>
      <c r="C542" s="22"/>
    </row>
    <row r="543" spans="2:3" s="68" customFormat="1" ht="11.25" x14ac:dyDescent="0.2">
      <c r="B543" s="22"/>
      <c r="C543" s="22"/>
    </row>
    <row r="544" spans="2:3" s="68" customFormat="1" ht="11.25" x14ac:dyDescent="0.2">
      <c r="B544" s="22"/>
      <c r="C544" s="22"/>
    </row>
    <row r="545" spans="2:3" s="68" customFormat="1" ht="11.25" x14ac:dyDescent="0.2">
      <c r="B545" s="22"/>
      <c r="C545" s="22"/>
    </row>
    <row r="546" spans="2:3" s="68" customFormat="1" ht="11.25" x14ac:dyDescent="0.2">
      <c r="B546" s="22"/>
      <c r="C546" s="22"/>
    </row>
    <row r="547" spans="2:3" s="68" customFormat="1" ht="11.25" x14ac:dyDescent="0.2">
      <c r="B547" s="22"/>
      <c r="C547" s="22"/>
    </row>
    <row r="548" spans="2:3" s="68" customFormat="1" ht="11.25" x14ac:dyDescent="0.2">
      <c r="B548" s="22"/>
      <c r="C548" s="22"/>
    </row>
    <row r="549" spans="2:3" s="68" customFormat="1" ht="11.25" x14ac:dyDescent="0.2">
      <c r="B549" s="22"/>
      <c r="C549" s="22"/>
    </row>
    <row r="550" spans="2:3" s="68" customFormat="1" ht="11.25" x14ac:dyDescent="0.2">
      <c r="B550" s="22"/>
      <c r="C550" s="22"/>
    </row>
    <row r="551" spans="2:3" s="68" customFormat="1" ht="11.25" x14ac:dyDescent="0.2">
      <c r="B551" s="22"/>
      <c r="C551" s="22"/>
    </row>
    <row r="552" spans="2:3" s="68" customFormat="1" ht="11.25" x14ac:dyDescent="0.2">
      <c r="B552" s="22"/>
      <c r="C552" s="22"/>
    </row>
    <row r="553" spans="2:3" s="68" customFormat="1" ht="11.25" x14ac:dyDescent="0.2">
      <c r="B553" s="22"/>
      <c r="C553" s="22"/>
    </row>
    <row r="554" spans="2:3" s="68" customFormat="1" ht="11.25" x14ac:dyDescent="0.2">
      <c r="B554" s="22"/>
      <c r="C554" s="22"/>
    </row>
    <row r="555" spans="2:3" s="68" customFormat="1" ht="11.25" x14ac:dyDescent="0.2">
      <c r="B555" s="22"/>
      <c r="C555" s="22"/>
    </row>
    <row r="556" spans="2:3" s="68" customFormat="1" ht="11.25" x14ac:dyDescent="0.2">
      <c r="B556" s="22"/>
      <c r="C556" s="22"/>
    </row>
    <row r="557" spans="2:3" s="68" customFormat="1" ht="11.25" x14ac:dyDescent="0.2">
      <c r="B557" s="22"/>
      <c r="C557" s="22"/>
    </row>
    <row r="558" spans="2:3" s="68" customFormat="1" ht="11.25" x14ac:dyDescent="0.2">
      <c r="B558" s="22"/>
      <c r="C558" s="22"/>
    </row>
    <row r="559" spans="2:3" s="68" customFormat="1" ht="11.25" x14ac:dyDescent="0.2">
      <c r="B559" s="22"/>
      <c r="C559" s="22"/>
    </row>
    <row r="560" spans="2:3" s="68" customFormat="1" ht="11.25" x14ac:dyDescent="0.2">
      <c r="B560" s="22"/>
      <c r="C560" s="22"/>
    </row>
    <row r="561" spans="2:3" s="68" customFormat="1" ht="11.25" x14ac:dyDescent="0.2">
      <c r="B561" s="22"/>
      <c r="C561" s="22"/>
    </row>
    <row r="562" spans="2:3" s="68" customFormat="1" ht="11.25" x14ac:dyDescent="0.2">
      <c r="B562" s="22"/>
      <c r="C562" s="22"/>
    </row>
    <row r="563" spans="2:3" s="68" customFormat="1" ht="11.25" x14ac:dyDescent="0.2">
      <c r="B563" s="22"/>
      <c r="C563" s="22"/>
    </row>
    <row r="564" spans="2:3" s="68" customFormat="1" ht="11.25" x14ac:dyDescent="0.2">
      <c r="B564" s="22"/>
      <c r="C564" s="22"/>
    </row>
    <row r="565" spans="2:3" s="68" customFormat="1" ht="11.25" x14ac:dyDescent="0.2">
      <c r="B565" s="22"/>
      <c r="C565" s="22"/>
    </row>
    <row r="566" spans="2:3" s="68" customFormat="1" ht="11.25" x14ac:dyDescent="0.2">
      <c r="B566" s="22"/>
      <c r="C566" s="22"/>
    </row>
    <row r="567" spans="2:3" s="68" customFormat="1" ht="11.25" x14ac:dyDescent="0.2">
      <c r="B567" s="22"/>
      <c r="C567" s="22"/>
    </row>
    <row r="568" spans="2:3" s="68" customFormat="1" ht="11.25" x14ac:dyDescent="0.2">
      <c r="B568" s="22"/>
      <c r="C568" s="22"/>
    </row>
    <row r="569" spans="2:3" s="68" customFormat="1" ht="11.25" x14ac:dyDescent="0.2">
      <c r="B569" s="22"/>
      <c r="C569" s="22"/>
    </row>
    <row r="570" spans="2:3" s="68" customFormat="1" ht="11.25" x14ac:dyDescent="0.2">
      <c r="B570" s="22"/>
      <c r="C570" s="22"/>
    </row>
    <row r="571" spans="2:3" s="68" customFormat="1" ht="11.25" x14ac:dyDescent="0.2">
      <c r="B571" s="22"/>
      <c r="C571" s="22"/>
    </row>
    <row r="572" spans="2:3" s="68" customFormat="1" ht="11.25" x14ac:dyDescent="0.2">
      <c r="B572" s="22"/>
      <c r="C572" s="22"/>
    </row>
    <row r="573" spans="2:3" s="68" customFormat="1" ht="11.25" x14ac:dyDescent="0.2">
      <c r="B573" s="22"/>
      <c r="C573" s="22"/>
    </row>
    <row r="574" spans="2:3" s="68" customFormat="1" ht="11.25" x14ac:dyDescent="0.2">
      <c r="B574" s="22"/>
      <c r="C574" s="22"/>
    </row>
    <row r="575" spans="2:3" s="68" customFormat="1" ht="11.25" x14ac:dyDescent="0.2">
      <c r="B575" s="22"/>
      <c r="C575" s="22"/>
    </row>
    <row r="576" spans="2:3" s="68" customFormat="1" ht="11.25" x14ac:dyDescent="0.2">
      <c r="B576" s="22"/>
      <c r="C576" s="22"/>
    </row>
    <row r="577" spans="2:3" s="68" customFormat="1" ht="11.25" x14ac:dyDescent="0.2">
      <c r="B577" s="22"/>
      <c r="C577" s="22"/>
    </row>
    <row r="578" spans="2:3" s="68" customFormat="1" ht="11.25" x14ac:dyDescent="0.2">
      <c r="B578" s="22"/>
      <c r="C578" s="22"/>
    </row>
    <row r="579" spans="2:3" s="68" customFormat="1" ht="11.25" x14ac:dyDescent="0.2">
      <c r="B579" s="22"/>
      <c r="C579" s="22"/>
    </row>
    <row r="580" spans="2:3" s="68" customFormat="1" ht="11.25" x14ac:dyDescent="0.2">
      <c r="B580" s="22"/>
      <c r="C580" s="22"/>
    </row>
    <row r="581" spans="2:3" s="68" customFormat="1" ht="11.25" x14ac:dyDescent="0.2">
      <c r="B581" s="22"/>
      <c r="C581" s="22"/>
    </row>
    <row r="582" spans="2:3" s="68" customFormat="1" ht="11.25" x14ac:dyDescent="0.2">
      <c r="B582" s="22"/>
      <c r="C582" s="22"/>
    </row>
    <row r="583" spans="2:3" s="68" customFormat="1" ht="11.25" x14ac:dyDescent="0.2">
      <c r="B583" s="22"/>
      <c r="C583" s="22"/>
    </row>
    <row r="584" spans="2:3" s="68" customFormat="1" ht="11.25" x14ac:dyDescent="0.2">
      <c r="B584" s="22"/>
      <c r="C584" s="22"/>
    </row>
    <row r="585" spans="2:3" s="68" customFormat="1" ht="11.25" x14ac:dyDescent="0.2">
      <c r="B585" s="22"/>
      <c r="C585" s="22"/>
    </row>
    <row r="586" spans="2:3" s="68" customFormat="1" ht="11.25" x14ac:dyDescent="0.2">
      <c r="B586" s="22"/>
      <c r="C586" s="22"/>
    </row>
    <row r="587" spans="2:3" s="68" customFormat="1" ht="11.25" x14ac:dyDescent="0.2">
      <c r="B587" s="22"/>
      <c r="C587" s="22"/>
    </row>
    <row r="588" spans="2:3" s="68" customFormat="1" ht="11.25" x14ac:dyDescent="0.2">
      <c r="B588" s="22"/>
      <c r="C588" s="22"/>
    </row>
    <row r="589" spans="2:3" s="68" customFormat="1" ht="11.25" x14ac:dyDescent="0.2">
      <c r="B589" s="22"/>
      <c r="C589" s="22"/>
    </row>
    <row r="590" spans="2:3" s="68" customFormat="1" ht="11.25" x14ac:dyDescent="0.2">
      <c r="B590" s="22"/>
      <c r="C590" s="22"/>
    </row>
    <row r="591" spans="2:3" s="68" customFormat="1" ht="11.25" x14ac:dyDescent="0.2">
      <c r="B591" s="22"/>
      <c r="C591" s="22"/>
    </row>
    <row r="592" spans="2:3" s="68" customFormat="1" ht="11.25" x14ac:dyDescent="0.2">
      <c r="B592" s="22"/>
      <c r="C592" s="22"/>
    </row>
    <row r="593" spans="2:3" s="68" customFormat="1" ht="11.25" x14ac:dyDescent="0.2">
      <c r="B593" s="22"/>
      <c r="C593" s="22"/>
    </row>
    <row r="594" spans="2:3" s="68" customFormat="1" ht="11.25" x14ac:dyDescent="0.2">
      <c r="B594" s="22"/>
      <c r="C594" s="22"/>
    </row>
    <row r="595" spans="2:3" s="68" customFormat="1" ht="11.25" x14ac:dyDescent="0.2">
      <c r="B595" s="22"/>
      <c r="C595" s="22"/>
    </row>
    <row r="596" spans="2:3" s="68" customFormat="1" ht="11.25" x14ac:dyDescent="0.2">
      <c r="B596" s="22"/>
      <c r="C596" s="22"/>
    </row>
    <row r="597" spans="2:3" s="68" customFormat="1" ht="11.25" x14ac:dyDescent="0.2">
      <c r="B597" s="22"/>
      <c r="C597" s="22"/>
    </row>
    <row r="598" spans="2:3" s="68" customFormat="1" ht="11.25" x14ac:dyDescent="0.2">
      <c r="B598" s="22"/>
      <c r="C598" s="22"/>
    </row>
    <row r="599" spans="2:3" s="68" customFormat="1" ht="11.25" x14ac:dyDescent="0.2">
      <c r="B599" s="22"/>
      <c r="C599" s="22"/>
    </row>
    <row r="600" spans="2:3" s="68" customFormat="1" ht="11.25" x14ac:dyDescent="0.2">
      <c r="B600" s="22"/>
      <c r="C600" s="22"/>
    </row>
    <row r="601" spans="2:3" s="68" customFormat="1" ht="11.25" x14ac:dyDescent="0.2">
      <c r="B601" s="22"/>
      <c r="C601" s="22"/>
    </row>
    <row r="602" spans="2:3" s="68" customFormat="1" ht="11.25" x14ac:dyDescent="0.2">
      <c r="B602" s="22"/>
      <c r="C602" s="22"/>
    </row>
    <row r="603" spans="2:3" s="68" customFormat="1" ht="11.25" x14ac:dyDescent="0.2">
      <c r="B603" s="22"/>
      <c r="C603" s="22"/>
    </row>
    <row r="604" spans="2:3" s="68" customFormat="1" ht="11.25" x14ac:dyDescent="0.2">
      <c r="B604" s="22"/>
      <c r="C604" s="22"/>
    </row>
    <row r="605" spans="2:3" s="68" customFormat="1" ht="11.25" x14ac:dyDescent="0.2">
      <c r="B605" s="22"/>
      <c r="C605" s="22"/>
    </row>
    <row r="606" spans="2:3" s="68" customFormat="1" ht="11.25" x14ac:dyDescent="0.2">
      <c r="B606" s="22"/>
      <c r="C606" s="22"/>
    </row>
    <row r="607" spans="2:3" s="68" customFormat="1" ht="11.25" x14ac:dyDescent="0.2">
      <c r="B607" s="22"/>
      <c r="C607" s="22"/>
    </row>
    <row r="608" spans="2:3" s="68" customFormat="1" ht="11.25" x14ac:dyDescent="0.2">
      <c r="B608" s="22"/>
      <c r="C608" s="22"/>
    </row>
    <row r="609" spans="2:3" s="68" customFormat="1" ht="11.25" x14ac:dyDescent="0.2">
      <c r="B609" s="22"/>
      <c r="C609" s="22"/>
    </row>
    <row r="610" spans="2:3" s="68" customFormat="1" ht="11.25" x14ac:dyDescent="0.2">
      <c r="B610" s="22"/>
      <c r="C610" s="22"/>
    </row>
    <row r="611" spans="2:3" s="68" customFormat="1" ht="11.25" x14ac:dyDescent="0.2">
      <c r="B611" s="22"/>
      <c r="C611" s="22"/>
    </row>
    <row r="612" spans="2:3" s="68" customFormat="1" ht="11.25" x14ac:dyDescent="0.2">
      <c r="B612" s="22"/>
      <c r="C612" s="22"/>
    </row>
    <row r="613" spans="2:3" s="68" customFormat="1" ht="11.25" x14ac:dyDescent="0.2">
      <c r="B613" s="22"/>
      <c r="C613" s="22"/>
    </row>
    <row r="614" spans="2:3" s="68" customFormat="1" ht="11.25" x14ac:dyDescent="0.2">
      <c r="B614" s="22"/>
      <c r="C614" s="22"/>
    </row>
    <row r="615" spans="2:3" s="68" customFormat="1" ht="11.25" x14ac:dyDescent="0.2">
      <c r="B615" s="22"/>
      <c r="C615" s="22"/>
    </row>
    <row r="616" spans="2:3" s="68" customFormat="1" ht="11.25" x14ac:dyDescent="0.2">
      <c r="B616" s="22"/>
      <c r="C616" s="22"/>
    </row>
    <row r="617" spans="2:3" s="68" customFormat="1" ht="11.25" x14ac:dyDescent="0.2">
      <c r="B617" s="22"/>
      <c r="C617" s="22"/>
    </row>
    <row r="618" spans="2:3" s="68" customFormat="1" ht="11.25" x14ac:dyDescent="0.2">
      <c r="B618" s="22"/>
      <c r="C618" s="22"/>
    </row>
    <row r="619" spans="2:3" s="68" customFormat="1" ht="11.25" x14ac:dyDescent="0.2">
      <c r="B619" s="22"/>
      <c r="C619" s="22"/>
    </row>
    <row r="620" spans="2:3" s="68" customFormat="1" ht="11.25" x14ac:dyDescent="0.2">
      <c r="B620" s="22"/>
      <c r="C620" s="22"/>
    </row>
    <row r="621" spans="2:3" s="68" customFormat="1" ht="11.25" x14ac:dyDescent="0.2">
      <c r="B621" s="22"/>
      <c r="C621" s="22"/>
    </row>
    <row r="622" spans="2:3" s="68" customFormat="1" ht="11.25" x14ac:dyDescent="0.2">
      <c r="B622" s="22"/>
      <c r="C622" s="22"/>
    </row>
    <row r="623" spans="2:3" s="68" customFormat="1" ht="11.25" x14ac:dyDescent="0.2">
      <c r="B623" s="22"/>
      <c r="C623" s="22"/>
    </row>
    <row r="624" spans="2:3" s="68" customFormat="1" ht="11.25" x14ac:dyDescent="0.2">
      <c r="B624" s="22"/>
      <c r="C624" s="22"/>
    </row>
    <row r="625" spans="2:3" s="68" customFormat="1" ht="11.25" x14ac:dyDescent="0.2">
      <c r="B625" s="22"/>
      <c r="C625" s="22"/>
    </row>
    <row r="626" spans="2:3" s="68" customFormat="1" ht="11.25" x14ac:dyDescent="0.2">
      <c r="B626" s="22"/>
      <c r="C626" s="22"/>
    </row>
    <row r="627" spans="2:3" s="68" customFormat="1" ht="11.25" x14ac:dyDescent="0.2">
      <c r="B627" s="22"/>
      <c r="C627" s="22"/>
    </row>
    <row r="628" spans="2:3" s="68" customFormat="1" ht="11.25" x14ac:dyDescent="0.2">
      <c r="B628" s="22"/>
      <c r="C628" s="22"/>
    </row>
    <row r="629" spans="2:3" s="68" customFormat="1" ht="11.25" x14ac:dyDescent="0.2">
      <c r="B629" s="22"/>
      <c r="C629" s="22"/>
    </row>
    <row r="630" spans="2:3" s="68" customFormat="1" ht="11.25" x14ac:dyDescent="0.2">
      <c r="B630" s="22"/>
      <c r="C630" s="22"/>
    </row>
    <row r="631" spans="2:3" s="68" customFormat="1" ht="11.25" x14ac:dyDescent="0.2">
      <c r="B631" s="22"/>
      <c r="C631" s="22"/>
    </row>
    <row r="632" spans="2:3" s="68" customFormat="1" ht="11.25" x14ac:dyDescent="0.2">
      <c r="B632" s="22"/>
      <c r="C632" s="22"/>
    </row>
    <row r="633" spans="2:3" s="68" customFormat="1" ht="11.25" x14ac:dyDescent="0.2">
      <c r="B633" s="22"/>
      <c r="C633" s="22"/>
    </row>
    <row r="634" spans="2:3" s="68" customFormat="1" ht="11.25" x14ac:dyDescent="0.2">
      <c r="B634" s="22"/>
      <c r="C634" s="22"/>
    </row>
    <row r="635" spans="2:3" s="68" customFormat="1" ht="11.25" x14ac:dyDescent="0.2">
      <c r="B635" s="22"/>
      <c r="C635" s="22"/>
    </row>
    <row r="636" spans="2:3" s="68" customFormat="1" ht="11.25" x14ac:dyDescent="0.2">
      <c r="B636" s="22"/>
      <c r="C636" s="22"/>
    </row>
    <row r="637" spans="2:3" s="68" customFormat="1" ht="11.25" x14ac:dyDescent="0.2">
      <c r="B637" s="22"/>
      <c r="C637" s="22"/>
    </row>
    <row r="638" spans="2:3" s="68" customFormat="1" ht="11.25" x14ac:dyDescent="0.2">
      <c r="B638" s="22"/>
      <c r="C638" s="22"/>
    </row>
    <row r="639" spans="2:3" s="68" customFormat="1" ht="11.25" x14ac:dyDescent="0.2">
      <c r="B639" s="22"/>
      <c r="C639" s="22"/>
    </row>
    <row r="640" spans="2:3" s="68" customFormat="1" ht="11.25" x14ac:dyDescent="0.2">
      <c r="B640" s="22"/>
      <c r="C640" s="22"/>
    </row>
    <row r="641" spans="2:3" s="68" customFormat="1" ht="11.25" x14ac:dyDescent="0.2">
      <c r="B641" s="22"/>
      <c r="C641" s="22"/>
    </row>
    <row r="642" spans="2:3" s="68" customFormat="1" ht="11.25" x14ac:dyDescent="0.2">
      <c r="B642" s="22"/>
      <c r="C642" s="22"/>
    </row>
    <row r="643" spans="2:3" s="68" customFormat="1" ht="11.25" x14ac:dyDescent="0.2">
      <c r="B643" s="22"/>
      <c r="C643" s="22"/>
    </row>
    <row r="644" spans="2:3" s="68" customFormat="1" ht="11.25" x14ac:dyDescent="0.2">
      <c r="B644" s="22"/>
      <c r="C644" s="22"/>
    </row>
    <row r="645" spans="2:3" s="68" customFormat="1" ht="11.25" x14ac:dyDescent="0.2">
      <c r="B645" s="22"/>
      <c r="C645" s="22"/>
    </row>
    <row r="646" spans="2:3" s="68" customFormat="1" ht="11.25" x14ac:dyDescent="0.2">
      <c r="B646" s="22"/>
      <c r="C646" s="22"/>
    </row>
    <row r="647" spans="2:3" s="68" customFormat="1" ht="11.25" x14ac:dyDescent="0.2">
      <c r="B647" s="22"/>
      <c r="C647" s="22"/>
    </row>
    <row r="648" spans="2:3" s="68" customFormat="1" ht="11.25" x14ac:dyDescent="0.2">
      <c r="B648" s="22"/>
      <c r="C648" s="22"/>
    </row>
    <row r="649" spans="2:3" s="68" customFormat="1" ht="11.25" x14ac:dyDescent="0.2">
      <c r="B649" s="22"/>
      <c r="C649" s="22"/>
    </row>
    <row r="650" spans="2:3" s="68" customFormat="1" ht="11.25" x14ac:dyDescent="0.2">
      <c r="B650" s="22"/>
      <c r="C650" s="22"/>
    </row>
    <row r="651" spans="2:3" s="68" customFormat="1" ht="11.25" x14ac:dyDescent="0.2">
      <c r="B651" s="22"/>
      <c r="C651" s="22"/>
    </row>
    <row r="652" spans="2:3" s="68" customFormat="1" ht="11.25" x14ac:dyDescent="0.2">
      <c r="B652" s="22"/>
      <c r="C652" s="22"/>
    </row>
    <row r="653" spans="2:3" s="68" customFormat="1" ht="11.25" x14ac:dyDescent="0.2">
      <c r="B653" s="22"/>
      <c r="C653" s="22"/>
    </row>
    <row r="654" spans="2:3" s="68" customFormat="1" ht="11.25" x14ac:dyDescent="0.2">
      <c r="B654" s="22"/>
      <c r="C654" s="22"/>
    </row>
    <row r="655" spans="2:3" s="68" customFormat="1" ht="11.25" x14ac:dyDescent="0.2">
      <c r="B655" s="22"/>
      <c r="C655" s="22"/>
    </row>
    <row r="656" spans="2:3" s="68" customFormat="1" ht="11.25" x14ac:dyDescent="0.2">
      <c r="B656" s="22"/>
      <c r="C656" s="22"/>
    </row>
    <row r="657" spans="2:3" s="68" customFormat="1" ht="11.25" x14ac:dyDescent="0.2">
      <c r="B657" s="22"/>
      <c r="C657" s="22"/>
    </row>
    <row r="658" spans="2:3" s="68" customFormat="1" ht="11.25" x14ac:dyDescent="0.2">
      <c r="B658" s="22"/>
      <c r="C658" s="22"/>
    </row>
    <row r="659" spans="2:3" s="68" customFormat="1" ht="11.25" x14ac:dyDescent="0.2">
      <c r="B659" s="22"/>
      <c r="C659" s="22"/>
    </row>
    <row r="660" spans="2:3" s="68" customFormat="1" ht="11.25" x14ac:dyDescent="0.2">
      <c r="B660" s="22"/>
      <c r="C660" s="22"/>
    </row>
    <row r="661" spans="2:3" s="68" customFormat="1" ht="11.25" x14ac:dyDescent="0.2">
      <c r="B661" s="22"/>
      <c r="C661" s="22"/>
    </row>
    <row r="662" spans="2:3" s="68" customFormat="1" ht="11.25" x14ac:dyDescent="0.2">
      <c r="B662" s="22"/>
      <c r="C662" s="22"/>
    </row>
    <row r="663" spans="2:3" s="68" customFormat="1" ht="11.25" x14ac:dyDescent="0.2">
      <c r="B663" s="22"/>
      <c r="C663" s="22"/>
    </row>
    <row r="664" spans="2:3" s="68" customFormat="1" ht="11.25" x14ac:dyDescent="0.2">
      <c r="B664" s="22"/>
      <c r="C664" s="22"/>
    </row>
    <row r="665" spans="2:3" s="68" customFormat="1" ht="11.25" x14ac:dyDescent="0.2">
      <c r="B665" s="22"/>
      <c r="C665" s="22"/>
    </row>
    <row r="666" spans="2:3" s="68" customFormat="1" ht="11.25" x14ac:dyDescent="0.2">
      <c r="B666" s="22"/>
      <c r="C666" s="22"/>
    </row>
    <row r="667" spans="2:3" s="68" customFormat="1" ht="11.25" x14ac:dyDescent="0.2">
      <c r="B667" s="22"/>
      <c r="C667" s="22"/>
    </row>
    <row r="668" spans="2:3" s="68" customFormat="1" ht="11.25" x14ac:dyDescent="0.2">
      <c r="B668" s="22"/>
      <c r="C668" s="22"/>
    </row>
    <row r="669" spans="2:3" s="68" customFormat="1" ht="11.25" x14ac:dyDescent="0.2">
      <c r="B669" s="22"/>
      <c r="C669" s="22"/>
    </row>
    <row r="670" spans="2:3" s="68" customFormat="1" ht="11.25" x14ac:dyDescent="0.2">
      <c r="B670" s="22"/>
      <c r="C670" s="22"/>
    </row>
    <row r="671" spans="2:3" s="68" customFormat="1" ht="11.25" x14ac:dyDescent="0.2">
      <c r="B671" s="22"/>
      <c r="C671" s="22"/>
    </row>
    <row r="672" spans="2:3" s="68" customFormat="1" ht="11.25" x14ac:dyDescent="0.2">
      <c r="B672" s="22"/>
      <c r="C672" s="22"/>
    </row>
    <row r="673" spans="2:3" s="68" customFormat="1" ht="11.25" x14ac:dyDescent="0.2">
      <c r="B673" s="22"/>
      <c r="C673" s="22"/>
    </row>
    <row r="674" spans="2:3" s="68" customFormat="1" ht="11.25" x14ac:dyDescent="0.2">
      <c r="B674" s="22"/>
      <c r="C674" s="22"/>
    </row>
    <row r="675" spans="2:3" s="68" customFormat="1" ht="11.25" x14ac:dyDescent="0.2">
      <c r="B675" s="22"/>
      <c r="C675" s="22"/>
    </row>
    <row r="676" spans="2:3" s="68" customFormat="1" ht="11.25" x14ac:dyDescent="0.2">
      <c r="B676" s="22"/>
      <c r="C676" s="22"/>
    </row>
    <row r="677" spans="2:3" s="68" customFormat="1" ht="11.25" x14ac:dyDescent="0.2">
      <c r="B677" s="22"/>
      <c r="C677" s="22"/>
    </row>
    <row r="678" spans="2:3" s="68" customFormat="1" ht="11.25" x14ac:dyDescent="0.2">
      <c r="B678" s="22"/>
      <c r="C678" s="22"/>
    </row>
    <row r="679" spans="2:3" s="68" customFormat="1" ht="11.25" x14ac:dyDescent="0.2">
      <c r="B679" s="22"/>
      <c r="C679" s="22"/>
    </row>
    <row r="680" spans="2:3" s="68" customFormat="1" ht="11.25" x14ac:dyDescent="0.2">
      <c r="B680" s="22"/>
      <c r="C680" s="22"/>
    </row>
    <row r="681" spans="2:3" s="68" customFormat="1" ht="11.25" x14ac:dyDescent="0.2">
      <c r="B681" s="22"/>
      <c r="C681" s="22"/>
    </row>
    <row r="682" spans="2:3" s="68" customFormat="1" ht="11.25" x14ac:dyDescent="0.2">
      <c r="B682" s="22"/>
      <c r="C682" s="22"/>
    </row>
    <row r="683" spans="2:3" s="68" customFormat="1" ht="11.25" x14ac:dyDescent="0.2">
      <c r="B683" s="22"/>
      <c r="C683" s="22"/>
    </row>
    <row r="684" spans="2:3" s="68" customFormat="1" ht="11.25" x14ac:dyDescent="0.2">
      <c r="B684" s="22"/>
      <c r="C684" s="22"/>
    </row>
    <row r="685" spans="2:3" s="68" customFormat="1" ht="11.25" x14ac:dyDescent="0.2">
      <c r="B685" s="22"/>
      <c r="C685" s="22"/>
    </row>
    <row r="686" spans="2:3" s="68" customFormat="1" ht="11.25" x14ac:dyDescent="0.2">
      <c r="B686" s="22"/>
      <c r="C686" s="22"/>
    </row>
    <row r="687" spans="2:3" s="68" customFormat="1" ht="11.25" x14ac:dyDescent="0.2">
      <c r="B687" s="22"/>
      <c r="C687" s="22"/>
    </row>
    <row r="688" spans="2:3" s="68" customFormat="1" ht="11.25" x14ac:dyDescent="0.2">
      <c r="B688" s="22"/>
      <c r="C688" s="22"/>
    </row>
    <row r="689" spans="2:3" s="68" customFormat="1" ht="11.25" x14ac:dyDescent="0.2">
      <c r="B689" s="22"/>
      <c r="C689" s="22"/>
    </row>
    <row r="690" spans="2:3" s="68" customFormat="1" ht="11.25" x14ac:dyDescent="0.2">
      <c r="B690" s="22"/>
      <c r="C690" s="22"/>
    </row>
    <row r="691" spans="2:3" s="68" customFormat="1" ht="11.25" x14ac:dyDescent="0.2">
      <c r="B691" s="22"/>
      <c r="C691" s="22"/>
    </row>
    <row r="692" spans="2:3" s="68" customFormat="1" ht="11.25" x14ac:dyDescent="0.2">
      <c r="B692" s="22"/>
      <c r="C692" s="22"/>
    </row>
    <row r="693" spans="2:3" s="68" customFormat="1" ht="11.25" x14ac:dyDescent="0.2">
      <c r="B693" s="22"/>
      <c r="C693" s="22"/>
    </row>
    <row r="694" spans="2:3" s="68" customFormat="1" ht="11.25" x14ac:dyDescent="0.2">
      <c r="B694" s="22"/>
      <c r="C694" s="22"/>
    </row>
    <row r="695" spans="2:3" s="68" customFormat="1" ht="11.25" x14ac:dyDescent="0.2">
      <c r="B695" s="22"/>
      <c r="C695" s="22"/>
    </row>
    <row r="696" spans="2:3" s="68" customFormat="1" ht="11.25" x14ac:dyDescent="0.2">
      <c r="B696" s="22"/>
      <c r="C696" s="22"/>
    </row>
    <row r="697" spans="2:3" s="68" customFormat="1" ht="11.25" x14ac:dyDescent="0.2">
      <c r="B697" s="22"/>
      <c r="C697" s="22"/>
    </row>
    <row r="698" spans="2:3" s="68" customFormat="1" ht="11.25" x14ac:dyDescent="0.2">
      <c r="B698" s="22"/>
      <c r="C698" s="22"/>
    </row>
    <row r="699" spans="2:3" s="68" customFormat="1" ht="11.25" x14ac:dyDescent="0.2">
      <c r="B699" s="22"/>
      <c r="C699" s="22"/>
    </row>
    <row r="700" spans="2:3" s="68" customFormat="1" ht="11.25" x14ac:dyDescent="0.2">
      <c r="B700" s="22"/>
      <c r="C700" s="22"/>
    </row>
    <row r="701" spans="2:3" s="68" customFormat="1" ht="11.25" x14ac:dyDescent="0.2">
      <c r="B701" s="22"/>
      <c r="C701" s="22"/>
    </row>
    <row r="702" spans="2:3" s="68" customFormat="1" ht="11.25" x14ac:dyDescent="0.2">
      <c r="B702" s="22"/>
      <c r="C702" s="22"/>
    </row>
    <row r="703" spans="2:3" s="68" customFormat="1" ht="11.25" x14ac:dyDescent="0.2">
      <c r="B703" s="22"/>
      <c r="C703" s="22"/>
    </row>
    <row r="704" spans="2:3" s="68" customFormat="1" ht="11.25" x14ac:dyDescent="0.2">
      <c r="B704" s="22"/>
      <c r="C704" s="22"/>
    </row>
    <row r="705" spans="2:3" s="68" customFormat="1" ht="11.25" x14ac:dyDescent="0.2">
      <c r="B705" s="22"/>
      <c r="C705" s="22"/>
    </row>
    <row r="706" spans="2:3" s="68" customFormat="1" ht="11.25" x14ac:dyDescent="0.2">
      <c r="B706" s="22"/>
      <c r="C706" s="22"/>
    </row>
    <row r="707" spans="2:3" s="68" customFormat="1" ht="11.25" x14ac:dyDescent="0.2">
      <c r="B707" s="22"/>
      <c r="C707" s="22"/>
    </row>
    <row r="708" spans="2:3" s="68" customFormat="1" ht="11.25" x14ac:dyDescent="0.2">
      <c r="B708" s="22"/>
      <c r="C708" s="22"/>
    </row>
    <row r="709" spans="2:3" s="68" customFormat="1" ht="11.25" x14ac:dyDescent="0.2">
      <c r="B709" s="22"/>
      <c r="C709" s="22"/>
    </row>
    <row r="710" spans="2:3" s="68" customFormat="1" ht="11.25" x14ac:dyDescent="0.2">
      <c r="B710" s="22"/>
      <c r="C710" s="22"/>
    </row>
    <row r="711" spans="2:3" s="68" customFormat="1" ht="11.25" x14ac:dyDescent="0.2">
      <c r="B711" s="22"/>
      <c r="C711" s="22"/>
    </row>
    <row r="712" spans="2:3" s="68" customFormat="1" ht="11.25" x14ac:dyDescent="0.2">
      <c r="B712" s="22"/>
      <c r="C712" s="22"/>
    </row>
    <row r="713" spans="2:3" s="68" customFormat="1" ht="11.25" x14ac:dyDescent="0.2">
      <c r="B713" s="22"/>
      <c r="C713" s="22"/>
    </row>
    <row r="714" spans="2:3" s="68" customFormat="1" ht="11.25" x14ac:dyDescent="0.2">
      <c r="B714" s="22"/>
      <c r="C714" s="22"/>
    </row>
    <row r="715" spans="2:3" s="68" customFormat="1" ht="11.25" x14ac:dyDescent="0.2">
      <c r="B715" s="22"/>
      <c r="C715" s="22"/>
    </row>
    <row r="716" spans="2:3" s="68" customFormat="1" ht="11.25" x14ac:dyDescent="0.2">
      <c r="B716" s="22"/>
      <c r="C716" s="22"/>
    </row>
    <row r="717" spans="2:3" s="68" customFormat="1" ht="11.25" x14ac:dyDescent="0.2">
      <c r="B717" s="22"/>
      <c r="C717" s="22"/>
    </row>
    <row r="718" spans="2:3" s="68" customFormat="1" ht="11.25" x14ac:dyDescent="0.2">
      <c r="B718" s="22"/>
      <c r="C718" s="22"/>
    </row>
    <row r="719" spans="2:3" s="68" customFormat="1" ht="11.25" x14ac:dyDescent="0.2">
      <c r="B719" s="22"/>
      <c r="C719" s="22"/>
    </row>
    <row r="720" spans="2:3" s="68" customFormat="1" ht="11.25" x14ac:dyDescent="0.2">
      <c r="B720" s="22"/>
      <c r="C720" s="22"/>
    </row>
    <row r="721" spans="1:3" s="68" customFormat="1" ht="11.25" x14ac:dyDescent="0.2">
      <c r="B721" s="22"/>
      <c r="C721" s="22"/>
    </row>
    <row r="722" spans="1:3" s="68" customFormat="1" ht="11.25" x14ac:dyDescent="0.2">
      <c r="B722" s="22"/>
      <c r="C722" s="22"/>
    </row>
    <row r="723" spans="1:3" s="68" customFormat="1" ht="11.25" x14ac:dyDescent="0.2">
      <c r="B723" s="22"/>
      <c r="C723" s="22"/>
    </row>
    <row r="724" spans="1:3" s="68" customFormat="1" ht="11.25" x14ac:dyDescent="0.2">
      <c r="B724" s="22"/>
      <c r="C724" s="22"/>
    </row>
    <row r="725" spans="1:3" s="68" customFormat="1" ht="11.25" x14ac:dyDescent="0.2">
      <c r="B725" s="22"/>
      <c r="C725" s="22"/>
    </row>
    <row r="726" spans="1:3" s="68" customFormat="1" ht="11.25" x14ac:dyDescent="0.2">
      <c r="B726" s="22"/>
      <c r="C726" s="22"/>
    </row>
    <row r="727" spans="1:3" s="68" customFormat="1" ht="11.25" x14ac:dyDescent="0.2">
      <c r="B727" s="22"/>
      <c r="C727" s="22"/>
    </row>
    <row r="728" spans="1:3" s="68" customFormat="1" ht="11.25" x14ac:dyDescent="0.2">
      <c r="B728" s="22"/>
      <c r="C728" s="22"/>
    </row>
    <row r="729" spans="1:3" s="68" customFormat="1" x14ac:dyDescent="0.2">
      <c r="B729" s="45"/>
      <c r="C729" s="45"/>
    </row>
    <row r="730" spans="1:3" s="68" customFormat="1" x14ac:dyDescent="0.2">
      <c r="A730"/>
      <c r="B730" s="45"/>
      <c r="C730" s="45"/>
    </row>
  </sheetData>
  <mergeCells count="2">
    <mergeCell ref="A131:C131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funcionamiento-deudacontantes</vt:lpstr>
      <vt:lpstr>Ingresos AC 2012-2021</vt:lpstr>
      <vt:lpstr>Ingresos AC 2022-2024-2025</vt:lpstr>
      <vt:lpstr>Ingresos EP 2012-2021</vt:lpstr>
      <vt:lpstr>Ingresos EP 2022-2025</vt:lpstr>
      <vt:lpstr>'funcionamiento-deudacontantes'!Títulos_a_imprimir</vt:lpstr>
      <vt:lpstr>'Ingresos AC 2012-2021'!Títulos_a_imprimir</vt:lpstr>
      <vt:lpstr>'Ingresos AC 2022-2024-2025'!Títulos_a_imprimir</vt:lpstr>
    </vt:vector>
  </TitlesOfParts>
  <Company>SECRETARIA DE HACIENDA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DE SISTEMAS</dc:creator>
  <cp:lastModifiedBy>Mireya Daza Díaz</cp:lastModifiedBy>
  <cp:lastPrinted>2021-06-17T13:27:14Z</cp:lastPrinted>
  <dcterms:created xsi:type="dcterms:W3CDTF">2000-03-03T20:08:45Z</dcterms:created>
  <dcterms:modified xsi:type="dcterms:W3CDTF">2025-02-19T19:25:37Z</dcterms:modified>
</cp:coreProperties>
</file>